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REGISTRO Y CONTROL ACADEMICO\"/>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36" i="1"/>
  <c r="K37" i="1"/>
  <c r="K19" i="1"/>
  <c r="K32" i="1"/>
  <c r="K35" i="1"/>
  <c r="K48" i="1"/>
  <c r="K67" i="1"/>
  <c r="K39" i="1"/>
  <c r="K68" i="1"/>
  <c r="K20" i="1"/>
  <c r="K53" i="1"/>
  <c r="K24" i="1"/>
  <c r="K49" i="1"/>
  <c r="K62" i="1"/>
  <c r="K56" i="1"/>
  <c r="K47" i="1"/>
  <c r="K31" i="1"/>
  <c r="K54" i="1"/>
  <c r="K44" i="1"/>
  <c r="K45" i="1"/>
  <c r="K33" i="1"/>
  <c r="K50" i="1"/>
  <c r="K29" i="1"/>
  <c r="K63" i="1"/>
  <c r="K69" i="1"/>
  <c r="K26" i="1"/>
  <c r="K18" i="1"/>
  <c r="K43" i="1"/>
  <c r="K51" i="1"/>
  <c r="K55" i="1"/>
  <c r="K21" i="1"/>
  <c r="K17" i="1"/>
  <c r="K57" i="1"/>
  <c r="K25" i="1"/>
  <c r="K59" i="1"/>
  <c r="K41" i="1"/>
  <c r="K65" i="1"/>
  <c r="K42" i="1"/>
  <c r="K23" i="1"/>
  <c r="K60" i="1"/>
  <c r="K27" i="1"/>
  <c r="K38" i="1"/>
  <c r="K30" i="1"/>
  <c r="K66" i="1"/>
  <c r="K61" i="1"/>
  <c r="F221" i="13" l="1"/>
  <c r="F211" i="13"/>
  <c r="F212" i="13"/>
  <c r="F213" i="13"/>
  <c r="F214" i="13"/>
  <c r="F215" i="13"/>
  <c r="F216" i="13"/>
  <c r="F217" i="13"/>
  <c r="F218" i="13"/>
  <c r="F219" i="13"/>
  <c r="F220" i="13"/>
  <c r="F210" i="13"/>
  <c r="K12" i="1"/>
  <c r="K13" i="1"/>
  <c r="K11" i="1"/>
  <c r="K15" i="1"/>
  <c r="K14" i="1"/>
  <c r="B221" i="13" a="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10" i="1"/>
  <c r="L10" i="1" s="1"/>
  <c r="K16" i="1"/>
  <c r="L16" i="1" s="1"/>
  <c r="K28" i="1"/>
  <c r="L28" i="1" s="1"/>
  <c r="K22" i="1"/>
  <c r="L22" i="1" s="1"/>
  <c r="K52" i="1"/>
  <c r="L52" i="1" s="1"/>
  <c r="K46" i="1"/>
  <c r="L46" i="1" s="1"/>
  <c r="K58" i="1"/>
  <c r="L58" i="1" s="1"/>
  <c r="K34" i="1"/>
  <c r="L34" i="1" s="1"/>
  <c r="K64" i="1"/>
  <c r="L64" i="1" s="1"/>
  <c r="M46" i="1" l="1"/>
  <c r="J42" i="18"/>
  <c r="P34" i="18"/>
  <c r="AB18" i="18"/>
  <c r="V18" i="18"/>
  <c r="AH34" i="18"/>
  <c r="P10" i="18"/>
  <c r="V34" i="18"/>
  <c r="P42" i="18"/>
  <c r="AB34" i="18"/>
  <c r="AH42" i="18"/>
  <c r="AB26" i="18"/>
  <c r="AH26" i="18"/>
  <c r="V26" i="18"/>
  <c r="V42" i="18"/>
  <c r="AH18" i="18"/>
  <c r="J34" i="18"/>
  <c r="J10" i="18"/>
  <c r="V10" i="18"/>
  <c r="AB10" i="18"/>
  <c r="J18" i="18"/>
  <c r="N46" i="1"/>
  <c r="P26" i="18"/>
  <c r="J26" i="18"/>
  <c r="AH10" i="18"/>
  <c r="P18" i="18"/>
  <c r="AB42" i="18"/>
  <c r="X42" i="18"/>
  <c r="AD34" i="18"/>
  <c r="AD10" i="18"/>
  <c r="X34" i="18"/>
  <c r="L42" i="18"/>
  <c r="L26" i="18"/>
  <c r="X18" i="18"/>
  <c r="R18" i="18"/>
  <c r="AJ10" i="18"/>
  <c r="AD42" i="18"/>
  <c r="AD26" i="18"/>
  <c r="AD18" i="18"/>
  <c r="AJ34" i="18"/>
  <c r="R26" i="18"/>
  <c r="M52" i="1"/>
  <c r="L18" i="18"/>
  <c r="L10" i="18"/>
  <c r="R34" i="18"/>
  <c r="L34" i="18"/>
  <c r="AJ42" i="18"/>
  <c r="R10" i="18"/>
  <c r="AJ26" i="18"/>
  <c r="X10" i="18"/>
  <c r="R42" i="18"/>
  <c r="X26" i="18"/>
  <c r="AJ18" i="18"/>
  <c r="N52" i="1"/>
  <c r="T14" i="18"/>
  <c r="AL38" i="18"/>
  <c r="N14" i="18"/>
  <c r="T38" i="18"/>
  <c r="T22" i="18"/>
  <c r="AL14" i="18"/>
  <c r="N22" i="18"/>
  <c r="AF14" i="18"/>
  <c r="N22" i="1"/>
  <c r="AF22" i="18"/>
  <c r="N6" i="18"/>
  <c r="AF6" i="18"/>
  <c r="AF38" i="18"/>
  <c r="N38" i="18"/>
  <c r="AL30" i="18"/>
  <c r="AL22" i="18"/>
  <c r="T6" i="18"/>
  <c r="M22" i="1"/>
  <c r="Z30" i="18"/>
  <c r="AF30" i="18"/>
  <c r="Z22" i="18"/>
  <c r="T30" i="18"/>
  <c r="Z6" i="18"/>
  <c r="AL6" i="18"/>
  <c r="Z14" i="18"/>
  <c r="Z38" i="18"/>
  <c r="N30" i="18"/>
  <c r="AH12" i="18"/>
  <c r="J20" i="18"/>
  <c r="J44" i="18"/>
  <c r="AB28" i="18"/>
  <c r="J28" i="18"/>
  <c r="J12" i="18"/>
  <c r="P28" i="18"/>
  <c r="N64" i="1"/>
  <c r="P12" i="18"/>
  <c r="AH20" i="18"/>
  <c r="P44" i="18"/>
  <c r="AB12" i="18"/>
  <c r="P20" i="18"/>
  <c r="J36" i="18"/>
  <c r="P36" i="18"/>
  <c r="AB44" i="18"/>
  <c r="V44" i="18"/>
  <c r="V12" i="18"/>
  <c r="V28" i="18"/>
  <c r="AH44" i="18"/>
  <c r="AH36" i="18"/>
  <c r="AH28" i="18"/>
  <c r="V36" i="18"/>
  <c r="V20" i="18"/>
  <c r="M64" i="1"/>
  <c r="AB64" i="1" s="1"/>
  <c r="AA64" i="1" s="1"/>
  <c r="AB20" i="18"/>
  <c r="AB36" i="18"/>
  <c r="J40" i="18"/>
  <c r="AB40" i="18"/>
  <c r="AH32" i="18"/>
  <c r="AB24" i="18"/>
  <c r="N28" i="1"/>
  <c r="J16" i="18"/>
  <c r="P32" i="18"/>
  <c r="V24" i="18"/>
  <c r="P24" i="18"/>
  <c r="AH16" i="18"/>
  <c r="AB16" i="18"/>
  <c r="P16" i="18"/>
  <c r="P40" i="18"/>
  <c r="V32" i="18"/>
  <c r="V8" i="18"/>
  <c r="AH24" i="18"/>
  <c r="AH8" i="18"/>
  <c r="M28" i="1"/>
  <c r="J8" i="18"/>
  <c r="AB32" i="18"/>
  <c r="AB8" i="18"/>
  <c r="V40" i="18"/>
  <c r="J24" i="18"/>
  <c r="J32" i="18"/>
  <c r="P8" i="18"/>
  <c r="V16" i="18"/>
  <c r="AH40" i="18"/>
  <c r="Z42" i="18"/>
  <c r="T18" i="18"/>
  <c r="AF34" i="18"/>
  <c r="AF42" i="18"/>
  <c r="T34" i="18"/>
  <c r="N42" i="18"/>
  <c r="Z18" i="18"/>
  <c r="AL10" i="18"/>
  <c r="AL26" i="18"/>
  <c r="AF10" i="18"/>
  <c r="Z34" i="18"/>
  <c r="AF26" i="18"/>
  <c r="Z10" i="18"/>
  <c r="N18" i="18"/>
  <c r="T26" i="18"/>
  <c r="N26" i="18"/>
  <c r="AL18" i="18"/>
  <c r="N10" i="18"/>
  <c r="M58" i="1"/>
  <c r="AF18" i="18"/>
  <c r="Z26" i="18"/>
  <c r="AL34" i="18"/>
  <c r="T10" i="18"/>
  <c r="N58" i="1"/>
  <c r="AL42" i="18"/>
  <c r="N34" i="18"/>
  <c r="T42" i="18"/>
  <c r="X6" i="18"/>
  <c r="AJ30" i="18"/>
  <c r="R22" i="18"/>
  <c r="L22" i="18"/>
  <c r="L6" i="18"/>
  <c r="R30" i="18"/>
  <c r="X22" i="18"/>
  <c r="X38" i="18"/>
  <c r="AD38" i="18"/>
  <c r="N16" i="1"/>
  <c r="AD22" i="18"/>
  <c r="M16" i="1"/>
  <c r="AD6" i="18"/>
  <c r="R6" i="18"/>
  <c r="L30" i="18"/>
  <c r="R38" i="18"/>
  <c r="AJ14" i="18"/>
  <c r="R14" i="18"/>
  <c r="X14" i="18"/>
  <c r="AD30" i="18"/>
  <c r="AJ38" i="18"/>
  <c r="AJ22" i="18"/>
  <c r="X30" i="18"/>
  <c r="L14" i="18"/>
  <c r="AJ6" i="18"/>
  <c r="L38" i="18"/>
  <c r="AD14" i="18"/>
  <c r="P14" i="18"/>
  <c r="V22" i="18"/>
  <c r="V14" i="18"/>
  <c r="J22" i="18"/>
  <c r="AH14" i="18"/>
  <c r="AH38" i="18"/>
  <c r="J14" i="18"/>
  <c r="V38" i="18"/>
  <c r="AB22" i="18"/>
  <c r="V30" i="18"/>
  <c r="AB14" i="18"/>
  <c r="M10" i="1"/>
  <c r="AB10" i="1" s="1"/>
  <c r="J30" i="18"/>
  <c r="P38" i="18"/>
  <c r="AB6" i="18"/>
  <c r="AB38" i="18"/>
  <c r="J38" i="18"/>
  <c r="AH6" i="18"/>
  <c r="V6" i="18"/>
  <c r="AB30" i="18"/>
  <c r="AH30" i="18"/>
  <c r="J6" i="18"/>
  <c r="P30" i="18"/>
  <c r="AH22" i="18"/>
  <c r="P6" i="18"/>
  <c r="P22" i="18"/>
  <c r="N10" i="1"/>
  <c r="L16" i="18"/>
  <c r="R24" i="18"/>
  <c r="L8" i="18"/>
  <c r="AD24" i="18"/>
  <c r="AJ24" i="18"/>
  <c r="R32" i="18"/>
  <c r="AJ16" i="18"/>
  <c r="R8" i="18"/>
  <c r="AJ32" i="18"/>
  <c r="AD8" i="18"/>
  <c r="X40" i="18"/>
  <c r="L24" i="18"/>
  <c r="AD16" i="18"/>
  <c r="N34" i="1"/>
  <c r="L32" i="18"/>
  <c r="X8" i="18"/>
  <c r="M34" i="1"/>
  <c r="R40" i="18"/>
  <c r="L40" i="18"/>
  <c r="X16" i="18"/>
  <c r="X24" i="18"/>
  <c r="AJ8" i="18"/>
  <c r="X32" i="18"/>
  <c r="AJ40" i="18"/>
  <c r="R16" i="18"/>
  <c r="AD40" i="18"/>
  <c r="AD32" i="18"/>
  <c r="AF24" i="18"/>
  <c r="AF32" i="18"/>
  <c r="T40" i="18"/>
  <c r="Z40" i="18"/>
  <c r="AF8" i="18"/>
  <c r="N8" i="18"/>
  <c r="AL8" i="18"/>
  <c r="M40" i="1"/>
  <c r="Z16" i="18"/>
  <c r="T24" i="18"/>
  <c r="AL24" i="18"/>
  <c r="AF16" i="18"/>
  <c r="Z32" i="18"/>
  <c r="N32" i="18"/>
  <c r="N16" i="18"/>
  <c r="Z8" i="18"/>
  <c r="T8" i="18"/>
  <c r="N24" i="18"/>
  <c r="T32" i="18"/>
  <c r="T16" i="18"/>
  <c r="AF40" i="18"/>
  <c r="AL40" i="18"/>
  <c r="N40" i="1"/>
  <c r="AL32" i="18"/>
  <c r="N40" i="18"/>
  <c r="Z24" i="18"/>
  <c r="AL16" i="18"/>
  <c r="V25" i="19" l="1"/>
  <c r="V45" i="19"/>
  <c r="J15" i="19"/>
  <c r="AB45" i="19"/>
  <c r="P35" i="19"/>
  <c r="AH25" i="19"/>
  <c r="AH55" i="19"/>
  <c r="AB15" i="19"/>
  <c r="P15" i="19"/>
  <c r="P45" i="19"/>
  <c r="V15" i="19"/>
  <c r="J35" i="19"/>
  <c r="AH35" i="19"/>
  <c r="AH45" i="19"/>
  <c r="J25" i="19"/>
  <c r="AB35" i="19"/>
  <c r="P25" i="19"/>
  <c r="AH15" i="19"/>
  <c r="V35" i="19"/>
  <c r="J55" i="19"/>
  <c r="J45" i="19"/>
  <c r="P55" i="19"/>
  <c r="AB55" i="19"/>
  <c r="AC64" i="1"/>
  <c r="AB25" i="19"/>
  <c r="V55" i="19"/>
  <c r="AA10" i="1"/>
  <c r="AB11" i="1"/>
  <c r="AA11" i="1" s="1"/>
  <c r="AB12" i="1"/>
  <c r="AA12" i="1" s="1"/>
  <c r="P16" i="19" l="1"/>
  <c r="P6" i="19"/>
  <c r="AH6" i="19"/>
  <c r="AB36" i="19"/>
  <c r="P36" i="19"/>
  <c r="V46" i="19"/>
  <c r="AH46" i="19"/>
  <c r="AB46" i="19"/>
  <c r="AH16" i="19"/>
  <c r="J46" i="19"/>
  <c r="J6" i="19"/>
  <c r="P46" i="19"/>
  <c r="AB26" i="19"/>
  <c r="J36" i="19"/>
  <c r="J26" i="19"/>
  <c r="AB16" i="19"/>
  <c r="AH26" i="19"/>
  <c r="J16" i="19"/>
  <c r="V26" i="19"/>
  <c r="AH36" i="19"/>
  <c r="P26" i="19"/>
  <c r="AB6" i="19"/>
  <c r="V16" i="19"/>
  <c r="V36" i="19"/>
  <c r="AC10" i="1"/>
  <c r="V6" i="19"/>
  <c r="AJ46" i="19"/>
  <c r="X36" i="19"/>
  <c r="AC12" i="1"/>
  <c r="R16" i="19"/>
  <c r="AD46" i="19"/>
  <c r="R6" i="19"/>
  <c r="X46" i="19"/>
  <c r="AJ16" i="19"/>
  <c r="AJ26" i="19"/>
  <c r="R46" i="19"/>
  <c r="AD16" i="19"/>
  <c r="L36" i="19"/>
  <c r="AJ6" i="19"/>
  <c r="X26" i="19"/>
  <c r="X16" i="19"/>
  <c r="AD36" i="19"/>
  <c r="AJ36" i="19"/>
  <c r="R26" i="19"/>
  <c r="X6" i="19"/>
  <c r="L16" i="19"/>
  <c r="L6" i="19"/>
  <c r="L46" i="19"/>
  <c r="AD26" i="19"/>
  <c r="AD6" i="19"/>
  <c r="R36" i="19"/>
  <c r="L26" i="19"/>
  <c r="W36" i="19"/>
  <c r="AC36" i="19"/>
  <c r="K16" i="19"/>
  <c r="Q46" i="19"/>
  <c r="AC26" i="19"/>
  <c r="AC16" i="19"/>
  <c r="K46" i="19"/>
  <c r="AI46" i="19"/>
  <c r="AC46" i="19"/>
  <c r="AI36" i="19"/>
  <c r="AC6" i="19"/>
  <c r="W16" i="19"/>
  <c r="K36" i="19"/>
  <c r="Q26" i="19"/>
  <c r="W26" i="19"/>
  <c r="K26" i="19"/>
  <c r="AI26" i="19"/>
  <c r="AC11" i="1"/>
  <c r="Q6" i="19"/>
  <c r="K6" i="19"/>
  <c r="Q16" i="19"/>
  <c r="AI16" i="19"/>
  <c r="W46" i="19"/>
  <c r="AI6" i="19"/>
  <c r="Q36" i="19"/>
  <c r="W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<sst xmlns="http://schemas.openxmlformats.org/spreadsheetml/2006/main" count="338" uniqueCount="228">
  <si>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</si>
  <si>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</si>
  <si>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</si>
  <si>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</si>
  <si>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</si>
  <si>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</si>
  <si>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</si>
  <si>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</si>
  <si>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</si>
  <si>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</si>
  <si>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</si>
  <si>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</si>
  <si>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</si>
  <si>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</si>
  <si>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</si>
  <si>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</si>
  <si>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</si>
  <si>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</si>
  <si>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</si>
  <si>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</si>
  <si>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</si>
  <si>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</si>
  <si>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</si>
  <si>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</si>
  <si>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</si>
  <si>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</si>
  <si>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</si>
  <si>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</si>
  <si>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</si>
  <si>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</si>
  <si>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</si>
  <si>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</si>
  <si>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</si>
  <si>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</si>
  <si>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</si>
  <si>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</si>
  <si>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</si>
  <si>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</si>
  <si>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</si>
  <si>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</si>
  <si>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</si>
  <si>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</si>
  <si>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</si>
  <si>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</si>
  <si>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</si>
  <si>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</si>
  <si>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</si>
  <si>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</si>
  <si>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</si>
  <si>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</si>
  <si>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</si>
  <si>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</si>
  <si>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</si>
  <si>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</si>
  <si>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</si>
  <si>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</si>
  <si>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</si>
  <si>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</si>
  <si>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</si>
  <si>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</si>
  <si>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</si>
  <si>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</si>
  <si>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</si>
  <si>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</si>
  <si>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</si>
  <si>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</si>
  <si>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</si>
  <si>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</si>
  <si>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</si>
  <si>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</si>
  <si>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</si>
  <si>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</si>
  <si>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</si>
  <si>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</si>
  <si>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</si>
  <si>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</si>
  <si>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</si>
  <si>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</si>
  <si>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</si>
  <si>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</si>
  <si>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</si>
  <si>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</si>
  <si>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</si>
  <si>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</si>
  <si>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</si>
  <si>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</si>
  <si>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</si>
  <si>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</si>
  <si>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</si>
  <si>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</si>
  <si>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</si>
  <si>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</si>
  <si>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</si>
  <si>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</si>
  <si>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</si>
  <si>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</si>
  <si>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</si>
  <si>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</si>
  <si>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</si>
  <si>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</si>
  <si>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</si>
  <si>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</si>
  <si>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</si>
  <si>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</si>
  <si>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</si>
  <si>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</si>
  <si>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</si>
  <si>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</si>
  <si>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</si>
  <si>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</si>
  <si>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</si>
  <si>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</si>
  <si>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</si>
  <si>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</si>
  <si>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</si>
  <si>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</si>
  <si>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</si>
  <si>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</si>
  <si>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</si>
  <si>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</si>
  <si>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</si>
  <si>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</si>
  <si>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</si>
  <si>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</si>
  <si>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</si>
  <si>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</si>
  <si>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</si>
  <si>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</si>
  <si>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</si>
  <si>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</si>
  <si>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</si>
  <si>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</si>
  <si>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</si>
  <si>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</si>
  <si>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</si>
  <si>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</si>
  <si>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</si>
  <si>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</si>
  <si>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</si>
  <si>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</si>
  <si>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</si>
  <si>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</si>
  <si>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</si>
  <si>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</si>
  <si>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</si>
  <si>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</si>
  <si>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</si>
  <si>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</si>
  <si>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</si>
  <si>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</si>
  <si>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</si>
  <si>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</si>
  <si>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</si>
  <si>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</si>
  <si>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</si>
  <si>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</si>
  <si>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</si>
  <si>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</si>
  <si>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</si>
  <si>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</si>
  <si>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</si>
  <si>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</si>
  <si>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</si>
  <si>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</si>
  <si>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</si>
  <si>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</si>
  <si>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</si>
  <si>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</si>
  <si>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</si>
  <si>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</si>
  <si>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</si>
  <si>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</si>
  <si>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</si>
  <si>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</si>
  <si>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</si>
  <si>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</si>
  <si>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</si>
  <si>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</si>
  <si>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</si>
  <si>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</si>
  <si>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</si>
  <si>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</si>
  <si>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</si>
  <si>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</si>
  <si>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</si>
  <si>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</si>
  <si>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</si>
  <si>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</si>
  <si>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</si>
  <si>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</si>
  <si>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</si>
  <si>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</si>
  <si>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</si>
  <si>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</si>
  <si>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</si>
  <si>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</si>
  <si>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</si>
  <si>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</si>
  <si>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</si>
  <si>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</si>
  <si>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</si>
  <si>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</si>
  <si>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</si>
  <si>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</si>
  <si>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</si>
  <si>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</si>
  <si>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</si>
  <si>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</si>
  <si>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</si>
  <si>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</si>
  <si>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</si>
  <si>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</si>
  <si>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</si>
  <si>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</si>
  <si>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Registro y Control</t>
  </si>
  <si>
    <t xml:space="preserve">Administrar la información académica relacionada con la inscripción, matricula, grados y demás funciones relacionadas que se generan de los procesos académicos </t>
  </si>
  <si>
    <t>Profesional de Registro y Control</t>
  </si>
  <si>
    <t>Todos los procesos</t>
  </si>
  <si>
    <t>Incumplimiento del reglamento estudiantil en el tiempo de aprobación de los requisitos de grado</t>
  </si>
  <si>
    <t xml:space="preserve">
Presentación de errores en la verificación de requisitos de los aspirantes a grado.</t>
  </si>
  <si>
    <t>Control en el cumplimiento del reglamento estudiantil</t>
  </si>
  <si>
    <t xml:space="preserve">
1. Graduando que no cumple con los requisitos 
2. Presentación  error de impresión en diplomas.
</t>
  </si>
  <si>
    <t xml:space="preserve">Comprometer al aspirante en la actualización de la información coherente . </t>
  </si>
  <si>
    <t>Solicitar cumplimiento del reglamento estudiantil en las fechas programadas para la solicitud de grado ante el Consejo Académico</t>
  </si>
  <si>
    <t>Vicerrectoría Académica</t>
  </si>
  <si>
    <t>Sensibilizar a los aspirantes por parte de la coordinación del programa</t>
  </si>
  <si>
    <t>Se evidencia cumplimiento de las fechas programadas por la Institución para la solicitud de grado en la vigenca 2023, se realizaron grados colectivos y ventanilla en el mes de agosto y se cumplieron con las fechas establecidas en el calendario para grados</t>
  </si>
  <si>
    <t>Se evidencia socialización de las fechas establecidas de solicitud de grado y los requisitos que tienen que cumplir a traves de la página institucional y redes sociales (facebook y whasapp), así mismo las fechas programadas para los grados colectivos, actividades que se realizaron entre los meses de julio y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</si>
</sst>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22" zoomScale="110" zoomScaleNormal="110" workbookViewId="0">
      <selection activeCell="B16" sqref="B16"/>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V7" zoomScaleNormal="100" workbookViewId="0">
      <selection activeCell="AE7" sqref="AE7:AJ7"/>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214</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215</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217</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132</v>
      </c>
      <c r="C10" s="179" t="s">
        <v>219</v>
      </c>
      <c r="D10" s="179" t="s">
        <v>221</v>
      </c>
      <c r="E10" s="191" t="s">
        <v>218</v>
      </c>
      <c r="F10" s="179" t="s">
        <v>123</v>
      </c>
      <c r="G10" s="182">
        <v>2</v>
      </c>
      <c r="H10" s="185" t="str">
        <f>IF(G10&lt;=0,"",IF(G10&lt;=2,"Muy Baja",IF(G10&lt;=24,"Baja",IF(G10&lt;=500,"Media",IF(G10&lt;=5000,"Alta","Muy Alta")))))</f>
        <v>Muy Baja</v>
      </c>
      <c r="I10" s="197">
        <f>IF(H10="","",IF(H10="Muy Baja",0.2,IF(H10="Baja",0.4,IF(H10="Media",0.6,IF(H10="Alta",0.8,IF(H10="Muy Alta",1,))))))</f>
        <v>0.2</v>
      </c>
      <c r="J10" s="200" t="s">
        <v>155</v>
      </c>
      <c r="K10" s="197"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85"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97">
        <f ca="1">IF(L10="","",IF(L10="Leve",0.2,IF(L10="Menor",0.4,IF(L10="Moderado",0.6,IF(L10="Mayor",0.8,IF(L10="Catastrófico",1,))))))</f>
        <v>0.6</v>
      </c>
      <c r="N10" s="19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220</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0.12</v>
      </c>
      <c r="Y10" s="131" t="str">
        <f>IFERROR(IF(X10="","",IF(X10&lt;=0.2,"Muy Baja",IF(X10&lt;=0.4,"Baja",IF(X10&lt;=0.6,"Media",IF(X10&lt;=0.8,"Alta","Muy Alta"))))),"")</f>
        <v>Muy Baja</v>
      </c>
      <c r="Z10" s="132">
        <f>+X10</f>
        <v>0.12</v>
      </c>
      <c r="AA10" s="131" t="str">
        <f ca="1">IFERROR(IF(AB10="","",IF(AB10&lt;=0.2,"Leve",IF(AB10&lt;=0.4,"Menor",IF(AB10&lt;=0.6,"Moderado",IF(AB10&lt;=0.8,"Mayor","Catastrófico"))))),"")</f>
        <v>Moderado</v>
      </c>
      <c r="AB10" s="132">
        <f ca="1">IFERROR(IF(Q10="Impacto",(M10-(+M10*T10)),IF(Q10="Probabilidad",M10,"")),"")</f>
        <v>0.6</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223</v>
      </c>
      <c r="AF10" s="136" t="s">
        <v>216</v>
      </c>
      <c r="AG10" s="137">
        <v>45289</v>
      </c>
      <c r="AH10" s="137">
        <v>45176</v>
      </c>
      <c r="AI10" s="135" t="s">
        <v>226</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 ca="1">IF(NOT(ISERROR(MATCH(J11,_xlfn.ANCHORARRAY(E22),0))),I24&amp;"Por favor no seleccionar los criterios de impacto",J11)</f>
        <v>0</v>
      </c>
      <c r="L11" s="186"/>
      <c r="M11" s="198"/>
      <c r="N11" s="195"/>
      <c r="O11" s="125">
        <v>2</v>
      </c>
      <c r="P11" s="126" t="s">
        <v>222</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20</v>
      </c>
      <c r="V11" s="128" t="s">
        <v>22</v>
      </c>
      <c r="W11" s="128" t="s">
        <v>120</v>
      </c>
      <c r="X11" s="130">
        <f>IFERROR(IF(AND(Q10="Probabilidad",Q11="Probabilidad"),(Z10-(+Z10*T11)),IF(Q11="Probabilidad",(I10-(+I10*T11)),IF(Q11="Impacto",Z10,""))),"")</f>
        <v>7.1999999999999995E-2</v>
      </c>
      <c r="Y11" s="131" t="str">
        <f t="shared" ref="Y11:Y69" si="1">IFERROR(IF(X11="","",IF(X11&lt;=0.2,"Muy Baja",IF(X11&lt;=0.4,"Baja",IF(X11&lt;=0.6,"Media",IF(X11&lt;=0.8,"Alta","Muy Alta"))))),"")</f>
        <v>Muy Baja</v>
      </c>
      <c r="Z11" s="132">
        <f t="shared" ref="Z11:Z15" si="2">+X11</f>
        <v>7.1999999999999995E-2</v>
      </c>
      <c r="AA11" s="131" t="str">
        <f t="shared" ref="AA11:AA69" ca="1" si="3">IFERROR(IF(AB11="","",IF(AB11&lt;=0.2,"Leve",IF(AB11&lt;=0.4,"Menor",IF(AB11&lt;=0.6,"Moderado",IF(AB11&lt;=0.8,"Mayor","Catastrófico"))))),"")</f>
        <v>Moderado</v>
      </c>
      <c r="AB11" s="132">
        <f ca="1">IFERROR(IF(AND(Q10="Impacto",Q11="Impacto"),(AB10-(+AB10*T11)),IF(Q11="Impacto",($M$10-(+$M$10*T11)),IF(Q11="Probabilidad",AB10,""))),"")</f>
        <v>0.6</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136</v>
      </c>
      <c r="AE11" s="135" t="s">
        <v>225</v>
      </c>
      <c r="AF11" s="136" t="s">
        <v>224</v>
      </c>
      <c r="AG11" s="137">
        <v>45289</v>
      </c>
      <c r="AH11" s="137">
        <v>45176</v>
      </c>
      <c r="AI11" s="135" t="s">
        <v>227</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 ca="1">IF(NOT(ISERROR(MATCH(J12,_xlfn.ANCHORARRAY(E23),0))),I25&amp;"Por favor no seleccionar los criterios de impacto",J12)</f>
        <v>0</v>
      </c>
      <c r="L12" s="186"/>
      <c r="M12" s="198"/>
      <c r="N12" s="195"/>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7.1999999999999995E-2</v>
      </c>
      <c r="Y12" s="131" t="str">
        <f t="shared" si="1"/>
        <v>Muy Baja</v>
      </c>
      <c r="Z12" s="132">
        <f t="shared" si="2"/>
        <v>7.1999999999999995E-2</v>
      </c>
      <c r="AA12" s="131" t="str">
        <f t="shared" ca="1" si="3"/>
        <v>Moderado</v>
      </c>
      <c r="AB12" s="132">
        <f ca="1">IFERROR(IF(AND(Q11="Impacto",Q12="Impacto"),(AB11-(+AB11*T12)),IF(AND(Q11="Probabilidad",Q12="Impacto"),(AB10-(+AB10*T12)),IF(Q12="Probabilidad",AB11,""))),"")</f>
        <v>0.44999999999999996</v>
      </c>
      <c r="AC12" s="133" t="str">
        <f t="shared" ca="1" si="4"/>
        <v>Moderado</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 ca="1">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 ca="1">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 ca="1">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c r="C16" s="179"/>
      <c r="D16" s="179"/>
      <c r="E16" s="191"/>
      <c r="F16" s="179"/>
      <c r="G16" s="182"/>
      <c r="H16" s="185" t="str">
        <f>IF(G16&lt;=0,"",IF(G16&lt;=2,"Muy Baja",IF(G16&lt;=24,"Baja",IF(G16&lt;=500,"Media",IF(G16&lt;=5000,"Alta","Muy Alta")))))</f>
        <v/>
      </c>
      <c r="I16" s="197" t="str">
        <f>IF(H16="","",IF(H16="Muy Baja",0.2,IF(H16="Baja",0.4,IF(H16="Media",0.6,IF(H16="Alta",0.8,IF(H16="Muy Alta",1,))))))</f>
        <v/>
      </c>
      <c r="J16" s="200"/>
      <c r="K16" s="197">
        <f ca="1">IF(NOT(ISERROR(MATCH(J16,'Tabla Impacto'!$B$221:$B$223,0))),'Tabla Impacto'!$F$223&amp;"Por favor no seleccionar los criterios de impacto(Afectación Económica o presupuestal y Pérdida Reputacional)",J16)</f>
        <v>0</v>
      </c>
      <c r="L16" s="185" t="str">
        <f ca="1">IF(OR(K16='Tabla Impacto'!$C$11,K16='Tabla Impacto'!$D$11),"Leve",IF(OR(K16='Tabla Impacto'!$C$12,K16='Tabla Impacto'!$D$12),"Menor",IF(OR(K16='Tabla Impacto'!$C$13,K16='Tabla Impacto'!$D$13),"Moderado",IF(OR(K16='Tabla Impacto'!$C$14,K16='Tabla Impacto'!$D$14),"Mayor",IF(OR(K16='Tabla Impacto'!$C$15,K16='Tabla Impacto'!$D$15),"Catastrófico","")))))</f>
        <v/>
      </c>
      <c r="M16" s="197" t="str">
        <f ca="1">IF(L16="","",IF(L16="Leve",0.2,IF(L16="Menor",0.4,IF(L16="Moderado",0.6,IF(L16="Mayor",0.8,IF(L16="Catastrófico",1,))))))</f>
        <v/>
      </c>
      <c r="N16" s="19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 ca="1">IF(NOT(ISERROR(MATCH(J17,_xlfn.ANCHORARRAY(E28),0))),I30&amp;"Por favor no seleccionar los criterios de impacto",J17)</f>
        <v>0</v>
      </c>
      <c r="L17" s="186"/>
      <c r="M17" s="198"/>
      <c r="N17" s="195"/>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 ca="1">IF(NOT(ISERROR(MATCH(J18,_xlfn.ANCHORARRAY(E29),0))),I31&amp;"Por favor no seleccionar los criterios de impacto",J18)</f>
        <v>0</v>
      </c>
      <c r="L18" s="186"/>
      <c r="M18" s="198"/>
      <c r="N18" s="195"/>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 ca="1">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 ca="1">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 ca="1">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c r="C22" s="179"/>
      <c r="D22" s="179"/>
      <c r="E22" s="191"/>
      <c r="F22" s="179"/>
      <c r="G22" s="182"/>
      <c r="H22" s="185" t="str">
        <f>IF(G22&lt;=0,"",IF(G22&lt;=2,"Muy Baja",IF(G22&lt;=24,"Baja",IF(G22&lt;=500,"Media",IF(G22&lt;=5000,"Alta","Muy Alta")))))</f>
        <v/>
      </c>
      <c r="I22" s="197" t="str">
        <f>IF(H22="","",IF(H22="Muy Baja",0.2,IF(H22="Baja",0.4,IF(H22="Media",0.6,IF(H22="Alta",0.8,IF(H22="Muy Alta",1,))))))</f>
        <v/>
      </c>
      <c r="J22" s="200"/>
      <c r="K22" s="197">
        <f ca="1">IF(NOT(ISERROR(MATCH(J22,'Tabla Impacto'!$B$221:$B$223,0))),'Tabla Impacto'!$F$223&amp;"Por favor no seleccionar los criterios de impacto(Afectación Económica o presupuestal y Pérdida Reputacional)",J22)</f>
        <v>0</v>
      </c>
      <c r="L22" s="185" t="str">
        <f ca="1">IF(OR(K22='Tabla Impacto'!$C$11,K22='Tabla Impacto'!$D$11),"Leve",IF(OR(K22='Tabla Impacto'!$C$12,K22='Tabla Impacto'!$D$12),"Menor",IF(OR(K22='Tabla Impacto'!$C$13,K22='Tabla Impacto'!$D$13),"Moderado",IF(OR(K22='Tabla Impacto'!$C$14,K22='Tabla Impacto'!$D$14),"Mayor",IF(OR(K22='Tabla Impacto'!$C$15,K22='Tabla Impacto'!$D$15),"Catastrófico","")))))</f>
        <v/>
      </c>
      <c r="M22" s="197" t="str">
        <f ca="1">IF(L22="","",IF(L22="Leve",0.2,IF(L22="Menor",0.4,IF(L22="Moderado",0.6,IF(L22="Mayor",0.8,IF(L22="Catastrófico",1,))))))</f>
        <v/>
      </c>
      <c r="N22" s="19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ca="1"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ca="1"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ca="1"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ca="1"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ca="1"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 ca="1">IF(NOT(ISERROR(MATCH(J28,'Tabla Impacto'!$B$221:$B$223,0))),'Tabla Impacto'!$F$223&amp;"Por favor no seleccionar los criterios de impacto(Afectación Económica o presupuestal y Pérdida Reputacional)",J28)</f>
        <v>0</v>
      </c>
      <c r="L28" s="18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19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ca="1"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ca="1"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ca="1"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ca="1"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ca="1"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 ca="1">IF(NOT(ISERROR(MATCH(J34,'Tabla Impacto'!$B$221:$B$223,0))),'Tabla Impacto'!$F$223&amp;"Por favor no seleccionar los criterios de impacto(Afectación Económica o presupuestal y Pérdida Reputacional)",J34)</f>
        <v>0</v>
      </c>
      <c r="L34" s="18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19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ca="1"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ca="1"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ca="1"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ca="1"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ca="1"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 ca="1">IF(NOT(ISERROR(MATCH(J40,'Tabla Impacto'!$B$221:$B$223,0))),'Tabla Impacto'!$F$223&amp;"Por favor no seleccionar los criterios de impacto(Afectación Económica o presupuestal y Pérdida Reputacional)",J40)</f>
        <v>0</v>
      </c>
      <c r="L40" s="18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19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ca="1"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ca="1"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ca="1"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ca="1"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ca="1"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 ca="1">IF(NOT(ISERROR(MATCH(J46,'Tabla Impacto'!$B$221:$B$223,0))),'Tabla Impacto'!$F$223&amp;"Por favor no seleccionar los criterios de impacto(Afectación Económica o presupuestal y Pérdida Reputacional)",J46)</f>
        <v>0</v>
      </c>
      <c r="L46" s="18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19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ca="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ca="1"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ca="1"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ca="1"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ca="1"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 ca="1">IF(NOT(ISERROR(MATCH(J52,'Tabla Impacto'!$B$221:$B$223,0))),'Tabla Impacto'!$F$223&amp;"Por favor no seleccionar los criterios de impacto(Afectación Económica o presupuestal y Pérdida Reputacional)",J52)</f>
        <v>0</v>
      </c>
      <c r="L52" s="18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19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 ca="1">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 ca="1">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 ca="1">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 ca="1">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 ca="1">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 ca="1">IF(NOT(ISERROR(MATCH(J58,'Tabla Impacto'!$B$221:$B$223,0))),'Tabla Impacto'!$F$223&amp;"Por favor no seleccionar los criterios de impacto(Afectación Económica o presupuestal y Pérdida Reputacional)",J58)</f>
        <v>0</v>
      </c>
      <c r="L58" s="18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19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 ca="1">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 ca="1">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 ca="1">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 ca="1">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 ca="1">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 ca="1">IF(NOT(ISERROR(MATCH(J64,'Tabla Impacto'!$B$221:$B$223,0))),'Tabla Impacto'!$F$223&amp;"Por favor no seleccionar los criterios de impacto(Afectación Económica o presupuestal y Pérdida Reputacional)",J64)</f>
        <v>0</v>
      </c>
      <c r="L64" s="18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19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 ca="1">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 ca="1">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 ca="1">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 ca="1">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 ca="1">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0866141732283472" right="0" top="0.74803149606299213" bottom="0.74803149606299213" header="0.31496062992125984" footer="0.31496062992125984"/>
  <pageSetup scale="55"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 ca="1">IF(AND('Mapa final'!$H$10="Muy Alta",'Mapa final'!$L$10="Leve"),CONCATENATE("R",'Mapa final'!$A$10),"")</f>
        <v/>
      </c>
      <c r="K6" s="274"/>
      <c r="L6" s="274" t="str">
        <f ca="1">IF(AND('Mapa final'!$H$16="Muy Alta",'Mapa final'!$L$16="Leve"),CONCATENATE("R",'Mapa final'!$A$16),"")</f>
        <v/>
      </c>
      <c r="M6" s="274"/>
      <c r="N6" s="274" t="str">
        <f ca="1">IF(AND('Mapa final'!$H$22="Muy Alta",'Mapa final'!$L$22="Leve"),CONCATENATE("R",'Mapa final'!$A$22),"")</f>
        <v/>
      </c>
      <c r="O6" s="275"/>
      <c r="P6" s="273" t="str">
        <f ca="1">IF(AND('Mapa final'!$H$10="Muy Alta",'Mapa final'!$L$10="Menor"),CONCATENATE("R",'Mapa final'!$A$10),"")</f>
        <v/>
      </c>
      <c r="Q6" s="274"/>
      <c r="R6" s="274" t="str">
        <f ca="1">IF(AND('Mapa final'!$H$16="Muy Alta",'Mapa final'!$L$16="Menor"),CONCATENATE("R",'Mapa final'!$A$16),"")</f>
        <v/>
      </c>
      <c r="S6" s="274"/>
      <c r="T6" s="274" t="str">
        <f ca="1">IF(AND('Mapa final'!$H$22="Muy Alta",'Mapa final'!$L$22="Menor"),CONCATENATE("R",'Mapa final'!$A$22),"")</f>
        <v/>
      </c>
      <c r="U6" s="275"/>
      <c r="V6" s="273" t="str">
        <f ca="1">IF(AND('Mapa final'!$H$10="Muy Alta",'Mapa final'!$L$10="Moderado"),CONCATENATE("R",'Mapa final'!$A$10),"")</f>
        <v/>
      </c>
      <c r="W6" s="274"/>
      <c r="X6" s="274" t="str">
        <f ca="1">IF(AND('Mapa final'!$H$16="Muy Alta",'Mapa final'!$L$16="Moderado"),CONCATENATE("R",'Mapa final'!$A$16),"")</f>
        <v/>
      </c>
      <c r="Y6" s="274"/>
      <c r="Z6" s="274" t="str">
        <f ca="1">IF(AND('Mapa final'!$H$22="Muy Alta",'Mapa final'!$L$22="Moderado"),CONCATENATE("R",'Mapa final'!$A$22),"")</f>
        <v/>
      </c>
      <c r="AA6" s="275"/>
      <c r="AB6" s="273" t="str">
        <f ca="1">IF(AND('Mapa final'!$H$10="Muy Alta",'Mapa final'!$L$10="Mayor"),CONCATENATE("R",'Mapa final'!$A$10),"")</f>
        <v/>
      </c>
      <c r="AC6" s="274"/>
      <c r="AD6" s="274" t="str">
        <f ca="1">IF(AND('Mapa final'!$H$16="Muy Alta",'Mapa final'!$L$16="Mayor"),CONCATENATE("R",'Mapa final'!$A$16),"")</f>
        <v/>
      </c>
      <c r="AE6" s="274"/>
      <c r="AF6" s="274" t="str">
        <f ca="1">IF(AND('Mapa final'!$H$22="Muy Alta",'Mapa final'!$L$22="Mayor"),CONCATENATE("R",'Mapa final'!$A$22),"")</f>
        <v/>
      </c>
      <c r="AG6" s="275"/>
      <c r="AH6" s="263" t="str">
        <f ca="1">IF(AND('Mapa final'!$H$10="Muy Alta",'Mapa final'!$L$10="Catastrófico"),CONCATENATE("R",'Mapa final'!$A$10),"")</f>
        <v/>
      </c>
      <c r="AI6" s="264"/>
      <c r="AJ6" s="264" t="str">
        <f ca="1">IF(AND('Mapa final'!$H$16="Muy Alta",'Mapa final'!$L$16="Catastrófico"),CONCATENATE("R",'Mapa final'!$A$16),"")</f>
        <v/>
      </c>
      <c r="AK6" s="264"/>
      <c r="AL6" s="264" t="str">
        <f ca="1">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 ca="1">IF(AND('Mapa final'!$H$28="Muy Alta",'Mapa final'!$L$28="Leve"),CONCATENATE("R",'Mapa final'!$A$28),"")</f>
        <v/>
      </c>
      <c r="K8" s="267"/>
      <c r="L8" s="268" t="str">
        <f ca="1">IF(AND('Mapa final'!$H$34="Muy Alta",'Mapa final'!$L$34="Leve"),CONCATENATE("R",'Mapa final'!$A$34),"")</f>
        <v/>
      </c>
      <c r="M8" s="268"/>
      <c r="N8" s="268" t="str">
        <f ca="1">IF(AND('Mapa final'!$H$40="Muy Alta",'Mapa final'!$L$40="Leve"),CONCATENATE("R",'Mapa final'!$A$40),"")</f>
        <v/>
      </c>
      <c r="O8" s="269"/>
      <c r="P8" s="266" t="str">
        <f ca="1">IF(AND('Mapa final'!$H$28="Muy Alta",'Mapa final'!$L$28="Menor"),CONCATENATE("R",'Mapa final'!$A$28),"")</f>
        <v/>
      </c>
      <c r="Q8" s="267"/>
      <c r="R8" s="268" t="str">
        <f ca="1">IF(AND('Mapa final'!$H$34="Muy Alta",'Mapa final'!$L$34="Menor"),CONCATENATE("R",'Mapa final'!$A$34),"")</f>
        <v/>
      </c>
      <c r="S8" s="268"/>
      <c r="T8" s="268" t="str">
        <f ca="1">IF(AND('Mapa final'!$H$40="Muy Alta",'Mapa final'!$L$40="Menor"),CONCATENATE("R",'Mapa final'!$A$40),"")</f>
        <v/>
      </c>
      <c r="U8" s="269"/>
      <c r="V8" s="266" t="str">
        <f ca="1">IF(AND('Mapa final'!$H$28="Muy Alta",'Mapa final'!$L$28="Moderado"),CONCATENATE("R",'Mapa final'!$A$28),"")</f>
        <v/>
      </c>
      <c r="W8" s="267"/>
      <c r="X8" s="268" t="str">
        <f ca="1">IF(AND('Mapa final'!$H$34="Muy Alta",'Mapa final'!$L$34="Moderado"),CONCATENATE("R",'Mapa final'!$A$34),"")</f>
        <v/>
      </c>
      <c r="Y8" s="268"/>
      <c r="Z8" s="268" t="str">
        <f ca="1">IF(AND('Mapa final'!$H$40="Muy Alta",'Mapa final'!$L$40="Moderado"),CONCATENATE("R",'Mapa final'!$A$40),"")</f>
        <v/>
      </c>
      <c r="AA8" s="269"/>
      <c r="AB8" s="266" t="str">
        <f ca="1">IF(AND('Mapa final'!$H$28="Muy Alta",'Mapa final'!$L$28="Mayor"),CONCATENATE("R",'Mapa final'!$A$28),"")</f>
        <v/>
      </c>
      <c r="AC8" s="267"/>
      <c r="AD8" s="268" t="str">
        <f ca="1">IF(AND('Mapa final'!$H$34="Muy Alta",'Mapa final'!$L$34="Mayor"),CONCATENATE("R",'Mapa final'!$A$34),"")</f>
        <v/>
      </c>
      <c r="AE8" s="268"/>
      <c r="AF8" s="268" t="str">
        <f ca="1">IF(AND('Mapa final'!$H$40="Muy Alta",'Mapa final'!$L$40="Mayor"),CONCATENATE("R",'Mapa final'!$A$40),"")</f>
        <v/>
      </c>
      <c r="AG8" s="269"/>
      <c r="AH8" s="257" t="str">
        <f ca="1">IF(AND('Mapa final'!$H$28="Muy Alta",'Mapa final'!$L$28="Catastrófico"),CONCATENATE("R",'Mapa final'!$A$28),"")</f>
        <v/>
      </c>
      <c r="AI8" s="258"/>
      <c r="AJ8" s="258" t="str">
        <f ca="1">IF(AND('Mapa final'!$H$34="Muy Alta",'Mapa final'!$L$34="Catastrófico"),CONCATENATE("R",'Mapa final'!$A$34),"")</f>
        <v/>
      </c>
      <c r="AK8" s="258"/>
      <c r="AL8" s="258" t="str">
        <f ca="1">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 ca="1">IF(AND('Mapa final'!$H$46="Muy Alta",'Mapa final'!$L$46="Leve"),CONCATENATE("R",'Mapa final'!$A$46),"")</f>
        <v/>
      </c>
      <c r="K10" s="267"/>
      <c r="L10" s="268" t="str">
        <f ca="1">IF(AND('Mapa final'!$H$52="Muy Alta",'Mapa final'!$L$52="Leve"),CONCATENATE("R",'Mapa final'!$A$52),"")</f>
        <v/>
      </c>
      <c r="M10" s="268"/>
      <c r="N10" s="268" t="str">
        <f ca="1">IF(AND('Mapa final'!$H$58="Muy Alta",'Mapa final'!$L$58="Leve"),CONCATENATE("R",'Mapa final'!$A$58),"")</f>
        <v/>
      </c>
      <c r="O10" s="269"/>
      <c r="P10" s="266" t="str">
        <f ca="1">IF(AND('Mapa final'!$H$46="Muy Alta",'Mapa final'!$L$46="Menor"),CONCATENATE("R",'Mapa final'!$A$46),"")</f>
        <v/>
      </c>
      <c r="Q10" s="267"/>
      <c r="R10" s="268" t="str">
        <f ca="1">IF(AND('Mapa final'!$H$52="Muy Alta",'Mapa final'!$L$52="Menor"),CONCATENATE("R",'Mapa final'!$A$52),"")</f>
        <v/>
      </c>
      <c r="S10" s="268"/>
      <c r="T10" s="268" t="str">
        <f ca="1">IF(AND('Mapa final'!$H$58="Muy Alta",'Mapa final'!$L$58="Menor"),CONCATENATE("R",'Mapa final'!$A$58),"")</f>
        <v/>
      </c>
      <c r="U10" s="269"/>
      <c r="V10" s="266" t="str">
        <f ca="1">IF(AND('Mapa final'!$H$46="Muy Alta",'Mapa final'!$L$46="Moderado"),CONCATENATE("R",'Mapa final'!$A$46),"")</f>
        <v/>
      </c>
      <c r="W10" s="267"/>
      <c r="X10" s="268" t="str">
        <f ca="1">IF(AND('Mapa final'!$H$52="Muy Alta",'Mapa final'!$L$52="Moderado"),CONCATENATE("R",'Mapa final'!$A$52),"")</f>
        <v/>
      </c>
      <c r="Y10" s="268"/>
      <c r="Z10" s="268" t="str">
        <f ca="1">IF(AND('Mapa final'!$H$58="Muy Alta",'Mapa final'!$L$58="Moderado"),CONCATENATE("R",'Mapa final'!$A$58),"")</f>
        <v/>
      </c>
      <c r="AA10" s="269"/>
      <c r="AB10" s="266" t="str">
        <f ca="1">IF(AND('Mapa final'!$H$46="Muy Alta",'Mapa final'!$L$46="Mayor"),CONCATENATE("R",'Mapa final'!$A$46),"")</f>
        <v/>
      </c>
      <c r="AC10" s="267"/>
      <c r="AD10" s="268" t="str">
        <f ca="1">IF(AND('Mapa final'!$H$52="Muy Alta",'Mapa final'!$L$52="Mayor"),CONCATENATE("R",'Mapa final'!$A$52),"")</f>
        <v/>
      </c>
      <c r="AE10" s="268"/>
      <c r="AF10" s="268" t="str">
        <f ca="1">IF(AND('Mapa final'!$H$58="Muy Alta",'Mapa final'!$L$58="Mayor"),CONCATENATE("R",'Mapa final'!$A$58),"")</f>
        <v/>
      </c>
      <c r="AG10" s="269"/>
      <c r="AH10" s="257" t="str">
        <f ca="1">IF(AND('Mapa final'!$H$46="Muy Alta",'Mapa final'!$L$46="Catastrófico"),CONCATENATE("R",'Mapa final'!$A$46),"")</f>
        <v/>
      </c>
      <c r="AI10" s="258"/>
      <c r="AJ10" s="258" t="str">
        <f ca="1">IF(AND('Mapa final'!$H$52="Muy Alta",'Mapa final'!$L$52="Catastrófico"),CONCATENATE("R",'Mapa final'!$A$52),"")</f>
        <v/>
      </c>
      <c r="AK10" s="258"/>
      <c r="AL10" s="258" t="str">
        <f ca="1">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 ca="1">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 ca="1">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 ca="1">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 ca="1">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 ca="1">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 ca="1">IF(AND('Mapa final'!$H$10="Alta",'Mapa final'!$L$10="Leve"),CONCATENATE("R",'Mapa final'!$A$10),"")</f>
        <v/>
      </c>
      <c r="K14" s="255"/>
      <c r="L14" s="255" t="str">
        <f ca="1">IF(AND('Mapa final'!$H$16="Alta",'Mapa final'!$L$16="Leve"),CONCATENATE("R",'Mapa final'!$A$16),"")</f>
        <v/>
      </c>
      <c r="M14" s="255"/>
      <c r="N14" s="255" t="str">
        <f ca="1">IF(AND('Mapa final'!$H$22="Alta",'Mapa final'!$L$22="Leve"),CONCATENATE("R",'Mapa final'!$A$22),"")</f>
        <v/>
      </c>
      <c r="O14" s="256"/>
      <c r="P14" s="254" t="str">
        <f ca="1">IF(AND('Mapa final'!$H$10="Alta",'Mapa final'!$L$10="Menor"),CONCATENATE("R",'Mapa final'!$A$10),"")</f>
        <v/>
      </c>
      <c r="Q14" s="255"/>
      <c r="R14" s="255" t="str">
        <f ca="1">IF(AND('Mapa final'!$H$16="Alta",'Mapa final'!$L$16="Menor"),CONCATENATE("R",'Mapa final'!$A$16),"")</f>
        <v/>
      </c>
      <c r="S14" s="255"/>
      <c r="T14" s="255" t="str">
        <f ca="1">IF(AND('Mapa final'!$H$22="Alta",'Mapa final'!$L$22="Menor"),CONCATENATE("R",'Mapa final'!$A$22),"")</f>
        <v/>
      </c>
      <c r="U14" s="256"/>
      <c r="V14" s="273" t="str">
        <f ca="1">IF(AND('Mapa final'!$H$10="Alta",'Mapa final'!$L$10="Moderado"),CONCATENATE("R",'Mapa final'!$A$10),"")</f>
        <v/>
      </c>
      <c r="W14" s="274"/>
      <c r="X14" s="274" t="str">
        <f ca="1">IF(AND('Mapa final'!$H$16="Alta",'Mapa final'!$L$16="Moderado"),CONCATENATE("R",'Mapa final'!$A$16),"")</f>
        <v/>
      </c>
      <c r="Y14" s="274"/>
      <c r="Z14" s="274" t="str">
        <f ca="1">IF(AND('Mapa final'!$H$22="Alta",'Mapa final'!$L$22="Moderado"),CONCATENATE("R",'Mapa final'!$A$22),"")</f>
        <v/>
      </c>
      <c r="AA14" s="275"/>
      <c r="AB14" s="273" t="str">
        <f ca="1">IF(AND('Mapa final'!$H$10="Alta",'Mapa final'!$L$10="Mayor"),CONCATENATE("R",'Mapa final'!$A$10),"")</f>
        <v/>
      </c>
      <c r="AC14" s="274"/>
      <c r="AD14" s="274" t="str">
        <f ca="1">IF(AND('Mapa final'!$H$16="Alta",'Mapa final'!$L$16="Mayor"),CONCATENATE("R",'Mapa final'!$A$16),"")</f>
        <v/>
      </c>
      <c r="AE14" s="274"/>
      <c r="AF14" s="274" t="str">
        <f ca="1">IF(AND('Mapa final'!$H$22="Alta",'Mapa final'!$L$22="Mayor"),CONCATENATE("R",'Mapa final'!$A$22),"")</f>
        <v/>
      </c>
      <c r="AG14" s="275"/>
      <c r="AH14" s="263" t="str">
        <f ca="1">IF(AND('Mapa final'!$H$10="Alta",'Mapa final'!$L$10="Catastrófico"),CONCATENATE("R",'Mapa final'!$A$10),"")</f>
        <v/>
      </c>
      <c r="AI14" s="264"/>
      <c r="AJ14" s="264" t="str">
        <f ca="1">IF(AND('Mapa final'!$H$16="Alta",'Mapa final'!$L$16="Catastrófico"),CONCATENATE("R",'Mapa final'!$A$16),"")</f>
        <v/>
      </c>
      <c r="AK14" s="264"/>
      <c r="AL14" s="264" t="str">
        <f ca="1">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 ca="1">IF(AND('Mapa final'!$H$28="Alta",'Mapa final'!$L$28="Leve"),CONCATENATE("R",'Mapa final'!$A$28),"")</f>
        <v/>
      </c>
      <c r="K16" s="249"/>
      <c r="L16" s="249" t="str">
        <f ca="1">IF(AND('Mapa final'!$H$34="Alta",'Mapa final'!$L$34="Leve"),CONCATENATE("R",'Mapa final'!$A$34),"")</f>
        <v/>
      </c>
      <c r="M16" s="249"/>
      <c r="N16" s="249" t="str">
        <f ca="1">IF(AND('Mapa final'!$H$40="Alta",'Mapa final'!$L$40="Leve"),CONCATENATE("R",'Mapa final'!$A$40),"")</f>
        <v/>
      </c>
      <c r="O16" s="250"/>
      <c r="P16" s="248" t="str">
        <f ca="1">IF(AND('Mapa final'!$H$28="Alta",'Mapa final'!$L$28="Menor"),CONCATENATE("R",'Mapa final'!$A$28),"")</f>
        <v/>
      </c>
      <c r="Q16" s="249"/>
      <c r="R16" s="249" t="str">
        <f ca="1">IF(AND('Mapa final'!$H$34="Alta",'Mapa final'!$L$34="Menor"),CONCATENATE("R",'Mapa final'!$A$34),"")</f>
        <v/>
      </c>
      <c r="S16" s="249"/>
      <c r="T16" s="249" t="str">
        <f ca="1">IF(AND('Mapa final'!$H$40="Alta",'Mapa final'!$L$40="Menor"),CONCATENATE("R",'Mapa final'!$A$40),"")</f>
        <v/>
      </c>
      <c r="U16" s="250"/>
      <c r="V16" s="266" t="str">
        <f ca="1">IF(AND('Mapa final'!$H$28="Alta",'Mapa final'!$L$28="Moderado"),CONCATENATE("R",'Mapa final'!$A$28),"")</f>
        <v/>
      </c>
      <c r="W16" s="267"/>
      <c r="X16" s="268" t="str">
        <f ca="1">IF(AND('Mapa final'!$H$34="Alta",'Mapa final'!$L$34="Moderado"),CONCATENATE("R",'Mapa final'!$A$34),"")</f>
        <v/>
      </c>
      <c r="Y16" s="268"/>
      <c r="Z16" s="268" t="str">
        <f ca="1">IF(AND('Mapa final'!$H$40="Alta",'Mapa final'!$L$40="Moderado"),CONCATENATE("R",'Mapa final'!$A$40),"")</f>
        <v/>
      </c>
      <c r="AA16" s="269"/>
      <c r="AB16" s="266" t="str">
        <f ca="1">IF(AND('Mapa final'!$H$28="Alta",'Mapa final'!$L$28="Mayor"),CONCATENATE("R",'Mapa final'!$A$28),"")</f>
        <v/>
      </c>
      <c r="AC16" s="267"/>
      <c r="AD16" s="268" t="str">
        <f ca="1">IF(AND('Mapa final'!$H$34="Alta",'Mapa final'!$L$34="Mayor"),CONCATENATE("R",'Mapa final'!$A$34),"")</f>
        <v/>
      </c>
      <c r="AE16" s="268"/>
      <c r="AF16" s="268" t="str">
        <f ca="1">IF(AND('Mapa final'!$H$40="Alta",'Mapa final'!$L$40="Mayor"),CONCATENATE("R",'Mapa final'!$A$40),"")</f>
        <v/>
      </c>
      <c r="AG16" s="269"/>
      <c r="AH16" s="257" t="str">
        <f ca="1">IF(AND('Mapa final'!$H$28="Alta",'Mapa final'!$L$28="Catastrófico"),CONCATENATE("R",'Mapa final'!$A$28),"")</f>
        <v/>
      </c>
      <c r="AI16" s="258"/>
      <c r="AJ16" s="258" t="str">
        <f ca="1">IF(AND('Mapa final'!$H$34="Alta",'Mapa final'!$L$34="Catastrófico"),CONCATENATE("R",'Mapa final'!$A$34),"")</f>
        <v/>
      </c>
      <c r="AK16" s="258"/>
      <c r="AL16" s="258" t="str">
        <f ca="1">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 ca="1">IF(AND('Mapa final'!$H$46="Alta",'Mapa final'!$L$46="Leve"),CONCATENATE("R",'Mapa final'!$A$46),"")</f>
        <v/>
      </c>
      <c r="K18" s="249"/>
      <c r="L18" s="249" t="str">
        <f ca="1">IF(AND('Mapa final'!$H$52="Alta",'Mapa final'!$L$52="Leve"),CONCATENATE("R",'Mapa final'!$A$52),"")</f>
        <v/>
      </c>
      <c r="M18" s="249"/>
      <c r="N18" s="249" t="str">
        <f ca="1">IF(AND('Mapa final'!$H$58="Alta",'Mapa final'!$L$58="Leve"),CONCATENATE("R",'Mapa final'!$A$58),"")</f>
        <v/>
      </c>
      <c r="O18" s="250"/>
      <c r="P18" s="248" t="str">
        <f ca="1">IF(AND('Mapa final'!$H$46="Alta",'Mapa final'!$L$46="Menor"),CONCATENATE("R",'Mapa final'!$A$46),"")</f>
        <v/>
      </c>
      <c r="Q18" s="249"/>
      <c r="R18" s="249" t="str">
        <f ca="1">IF(AND('Mapa final'!$H$52="Alta",'Mapa final'!$L$52="Menor"),CONCATENATE("R",'Mapa final'!$A$52),"")</f>
        <v/>
      </c>
      <c r="S18" s="249"/>
      <c r="T18" s="249" t="str">
        <f ca="1">IF(AND('Mapa final'!$H$58="Alta",'Mapa final'!$L$58="Menor"),CONCATENATE("R",'Mapa final'!$A$58),"")</f>
        <v/>
      </c>
      <c r="U18" s="250"/>
      <c r="V18" s="266" t="str">
        <f ca="1">IF(AND('Mapa final'!$H$46="Alta",'Mapa final'!$L$46="Moderado"),CONCATENATE("R",'Mapa final'!$A$46),"")</f>
        <v/>
      </c>
      <c r="W18" s="267"/>
      <c r="X18" s="268" t="str">
        <f ca="1">IF(AND('Mapa final'!$H$52="Alta",'Mapa final'!$L$52="Moderado"),CONCATENATE("R",'Mapa final'!$A$52),"")</f>
        <v/>
      </c>
      <c r="Y18" s="268"/>
      <c r="Z18" s="268" t="str">
        <f ca="1">IF(AND('Mapa final'!$H$58="Alta",'Mapa final'!$L$58="Moderado"),CONCATENATE("R",'Mapa final'!$A$58),"")</f>
        <v/>
      </c>
      <c r="AA18" s="269"/>
      <c r="AB18" s="266" t="str">
        <f ca="1">IF(AND('Mapa final'!$H$46="Alta",'Mapa final'!$L$46="Mayor"),CONCATENATE("R",'Mapa final'!$A$46),"")</f>
        <v/>
      </c>
      <c r="AC18" s="267"/>
      <c r="AD18" s="268" t="str">
        <f ca="1">IF(AND('Mapa final'!$H$52="Alta",'Mapa final'!$L$52="Mayor"),CONCATENATE("R",'Mapa final'!$A$52),"")</f>
        <v/>
      </c>
      <c r="AE18" s="268"/>
      <c r="AF18" s="268" t="str">
        <f ca="1">IF(AND('Mapa final'!$H$58="Alta",'Mapa final'!$L$58="Mayor"),CONCATENATE("R",'Mapa final'!$A$58),"")</f>
        <v/>
      </c>
      <c r="AG18" s="269"/>
      <c r="AH18" s="257" t="str">
        <f ca="1">IF(AND('Mapa final'!$H$46="Alta",'Mapa final'!$L$46="Catastrófico"),CONCATENATE("R",'Mapa final'!$A$46),"")</f>
        <v/>
      </c>
      <c r="AI18" s="258"/>
      <c r="AJ18" s="258" t="str">
        <f ca="1">IF(AND('Mapa final'!$H$52="Alta",'Mapa final'!$L$52="Catastrófico"),CONCATENATE("R",'Mapa final'!$A$52),"")</f>
        <v/>
      </c>
      <c r="AK18" s="258"/>
      <c r="AL18" s="258" t="str">
        <f ca="1">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 ca="1">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 ca="1">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 ca="1">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 ca="1">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 ca="1">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 ca="1">IF(AND('Mapa final'!$H$10="Media",'Mapa final'!$L$10="Leve"),CONCATENATE("R",'Mapa final'!$A$10),"")</f>
        <v/>
      </c>
      <c r="K22" s="255"/>
      <c r="L22" s="255" t="str">
        <f ca="1">IF(AND('Mapa final'!$H$16="Media",'Mapa final'!$L$16="Leve"),CONCATENATE("R",'Mapa final'!$A$16),"")</f>
        <v/>
      </c>
      <c r="M22" s="255"/>
      <c r="N22" s="255" t="str">
        <f ca="1">IF(AND('Mapa final'!$H$22="Media",'Mapa final'!$L$22="Leve"),CONCATENATE("R",'Mapa final'!$A$22),"")</f>
        <v/>
      </c>
      <c r="O22" s="256"/>
      <c r="P22" s="254" t="str">
        <f ca="1">IF(AND('Mapa final'!$H$10="Media",'Mapa final'!$L$10="Menor"),CONCATENATE("R",'Mapa final'!$A$10),"")</f>
        <v/>
      </c>
      <c r="Q22" s="255"/>
      <c r="R22" s="255" t="str">
        <f ca="1">IF(AND('Mapa final'!$H$16="Media",'Mapa final'!$L$16="Menor"),CONCATENATE("R",'Mapa final'!$A$16),"")</f>
        <v/>
      </c>
      <c r="S22" s="255"/>
      <c r="T22" s="255" t="str">
        <f ca="1">IF(AND('Mapa final'!$H$22="Media",'Mapa final'!$L$22="Menor"),CONCATENATE("R",'Mapa final'!$A$22),"")</f>
        <v/>
      </c>
      <c r="U22" s="256"/>
      <c r="V22" s="254" t="str">
        <f ca="1">IF(AND('Mapa final'!$H$10="Media",'Mapa final'!$L$10="Moderado"),CONCATENATE("R",'Mapa final'!$A$10),"")</f>
        <v/>
      </c>
      <c r="W22" s="255"/>
      <c r="X22" s="255" t="str">
        <f ca="1">IF(AND('Mapa final'!$H$16="Media",'Mapa final'!$L$16="Moderado"),CONCATENATE("R",'Mapa final'!$A$16),"")</f>
        <v/>
      </c>
      <c r="Y22" s="255"/>
      <c r="Z22" s="255" t="str">
        <f ca="1">IF(AND('Mapa final'!$H$22="Media",'Mapa final'!$L$22="Moderado"),CONCATENATE("R",'Mapa final'!$A$22),"")</f>
        <v/>
      </c>
      <c r="AA22" s="256"/>
      <c r="AB22" s="273" t="str">
        <f ca="1">IF(AND('Mapa final'!$H$10="Media",'Mapa final'!$L$10="Mayor"),CONCATENATE("R",'Mapa final'!$A$10),"")</f>
        <v/>
      </c>
      <c r="AC22" s="274"/>
      <c r="AD22" s="274" t="str">
        <f ca="1">IF(AND('Mapa final'!$H$16="Media",'Mapa final'!$L$16="Mayor"),CONCATENATE("R",'Mapa final'!$A$16),"")</f>
        <v/>
      </c>
      <c r="AE22" s="274"/>
      <c r="AF22" s="274" t="str">
        <f ca="1">IF(AND('Mapa final'!$H$22="Media",'Mapa final'!$L$22="Mayor"),CONCATENATE("R",'Mapa final'!$A$22),"")</f>
        <v/>
      </c>
      <c r="AG22" s="275"/>
      <c r="AH22" s="263" t="str">
        <f ca="1">IF(AND('Mapa final'!$H$10="Media",'Mapa final'!$L$10="Catastrófico"),CONCATENATE("R",'Mapa final'!$A$10),"")</f>
        <v/>
      </c>
      <c r="AI22" s="264"/>
      <c r="AJ22" s="264" t="str">
        <f ca="1">IF(AND('Mapa final'!$H$16="Media",'Mapa final'!$L$16="Catastrófico"),CONCATENATE("R",'Mapa final'!$A$16),"")</f>
        <v/>
      </c>
      <c r="AK22" s="264"/>
      <c r="AL22" s="264" t="str">
        <f ca="1">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 ca="1">IF(AND('Mapa final'!$H$28="Media",'Mapa final'!$L$28="Leve"),CONCATENATE("R",'Mapa final'!$A$28),"")</f>
        <v/>
      </c>
      <c r="K24" s="249"/>
      <c r="L24" s="249" t="str">
        <f ca="1">IF(AND('Mapa final'!$H$34="Media",'Mapa final'!$L$34="Leve"),CONCATENATE("R",'Mapa final'!$A$34),"")</f>
        <v/>
      </c>
      <c r="M24" s="249"/>
      <c r="N24" s="249" t="str">
        <f ca="1">IF(AND('Mapa final'!$H$40="Media",'Mapa final'!$L$40="Leve"),CONCATENATE("R",'Mapa final'!$A$40),"")</f>
        <v/>
      </c>
      <c r="O24" s="250"/>
      <c r="P24" s="248" t="str">
        <f ca="1">IF(AND('Mapa final'!$H$28="Media",'Mapa final'!$L$28="Menor"),CONCATENATE("R",'Mapa final'!$A$28),"")</f>
        <v/>
      </c>
      <c r="Q24" s="249"/>
      <c r="R24" s="249" t="str">
        <f ca="1">IF(AND('Mapa final'!$H$34="Media",'Mapa final'!$L$34="Menor"),CONCATENATE("R",'Mapa final'!$A$34),"")</f>
        <v/>
      </c>
      <c r="S24" s="249"/>
      <c r="T24" s="249" t="str">
        <f ca="1">IF(AND('Mapa final'!$H$40="Media",'Mapa final'!$L$40="Menor"),CONCATENATE("R",'Mapa final'!$A$40),"")</f>
        <v/>
      </c>
      <c r="U24" s="250"/>
      <c r="V24" s="248" t="str">
        <f ca="1">IF(AND('Mapa final'!$H$28="Media",'Mapa final'!$L$28="Moderado"),CONCATENATE("R",'Mapa final'!$A$28),"")</f>
        <v/>
      </c>
      <c r="W24" s="249"/>
      <c r="X24" s="249" t="str">
        <f ca="1">IF(AND('Mapa final'!$H$34="Media",'Mapa final'!$L$34="Moderado"),CONCATENATE("R",'Mapa final'!$A$34),"")</f>
        <v/>
      </c>
      <c r="Y24" s="249"/>
      <c r="Z24" s="249" t="str">
        <f ca="1">IF(AND('Mapa final'!$H$40="Media",'Mapa final'!$L$40="Moderado"),CONCATENATE("R",'Mapa final'!$A$40),"")</f>
        <v/>
      </c>
      <c r="AA24" s="250"/>
      <c r="AB24" s="266" t="str">
        <f ca="1">IF(AND('Mapa final'!$H$28="Media",'Mapa final'!$L$28="Mayor"),CONCATENATE("R",'Mapa final'!$A$28),"")</f>
        <v/>
      </c>
      <c r="AC24" s="267"/>
      <c r="AD24" s="268" t="str">
        <f ca="1">IF(AND('Mapa final'!$H$34="Media",'Mapa final'!$L$34="Mayor"),CONCATENATE("R",'Mapa final'!$A$34),"")</f>
        <v/>
      </c>
      <c r="AE24" s="268"/>
      <c r="AF24" s="268" t="str">
        <f ca="1">IF(AND('Mapa final'!$H$40="Media",'Mapa final'!$L$40="Mayor"),CONCATENATE("R",'Mapa final'!$A$40),"")</f>
        <v/>
      </c>
      <c r="AG24" s="269"/>
      <c r="AH24" s="257" t="str">
        <f ca="1">IF(AND('Mapa final'!$H$28="Media",'Mapa final'!$L$28="Catastrófico"),CONCATENATE("R",'Mapa final'!$A$28),"")</f>
        <v/>
      </c>
      <c r="AI24" s="258"/>
      <c r="AJ24" s="258" t="str">
        <f ca="1">IF(AND('Mapa final'!$H$34="Media",'Mapa final'!$L$34="Catastrófico"),CONCATENATE("R",'Mapa final'!$A$34),"")</f>
        <v/>
      </c>
      <c r="AK24" s="258"/>
      <c r="AL24" s="258" t="str">
        <f ca="1">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 ca="1">IF(AND('Mapa final'!$H$46="Media",'Mapa final'!$L$46="Leve"),CONCATENATE("R",'Mapa final'!$A$46),"")</f>
        <v/>
      </c>
      <c r="K26" s="249"/>
      <c r="L26" s="249" t="str">
        <f ca="1">IF(AND('Mapa final'!$H$52="Media",'Mapa final'!$L$52="Leve"),CONCATENATE("R",'Mapa final'!$A$52),"")</f>
        <v/>
      </c>
      <c r="M26" s="249"/>
      <c r="N26" s="249" t="str">
        <f ca="1">IF(AND('Mapa final'!$H$58="Media",'Mapa final'!$L$58="Leve"),CONCATENATE("R",'Mapa final'!$A$58),"")</f>
        <v/>
      </c>
      <c r="O26" s="250"/>
      <c r="P26" s="248" t="str">
        <f ca="1">IF(AND('Mapa final'!$H$46="Media",'Mapa final'!$L$46="Menor"),CONCATENATE("R",'Mapa final'!$A$46),"")</f>
        <v/>
      </c>
      <c r="Q26" s="249"/>
      <c r="R26" s="249" t="str">
        <f ca="1">IF(AND('Mapa final'!$H$52="Media",'Mapa final'!$L$52="Menor"),CONCATENATE("R",'Mapa final'!$A$52),"")</f>
        <v/>
      </c>
      <c r="S26" s="249"/>
      <c r="T26" s="249" t="str">
        <f ca="1">IF(AND('Mapa final'!$H$58="Media",'Mapa final'!$L$58="Menor"),CONCATENATE("R",'Mapa final'!$A$58),"")</f>
        <v/>
      </c>
      <c r="U26" s="250"/>
      <c r="V26" s="248" t="str">
        <f ca="1">IF(AND('Mapa final'!$H$46="Media",'Mapa final'!$L$46="Moderado"),CONCATENATE("R",'Mapa final'!$A$46),"")</f>
        <v/>
      </c>
      <c r="W26" s="249"/>
      <c r="X26" s="249" t="str">
        <f ca="1">IF(AND('Mapa final'!$H$52="Media",'Mapa final'!$L$52="Moderado"),CONCATENATE("R",'Mapa final'!$A$52),"")</f>
        <v/>
      </c>
      <c r="Y26" s="249"/>
      <c r="Z26" s="249" t="str">
        <f ca="1">IF(AND('Mapa final'!$H$58="Media",'Mapa final'!$L$58="Moderado"),CONCATENATE("R",'Mapa final'!$A$58),"")</f>
        <v/>
      </c>
      <c r="AA26" s="250"/>
      <c r="AB26" s="266" t="str">
        <f ca="1">IF(AND('Mapa final'!$H$46="Media",'Mapa final'!$L$46="Mayor"),CONCATENATE("R",'Mapa final'!$A$46),"")</f>
        <v/>
      </c>
      <c r="AC26" s="267"/>
      <c r="AD26" s="268" t="str">
        <f ca="1">IF(AND('Mapa final'!$H$52="Media",'Mapa final'!$L$52="Mayor"),CONCATENATE("R",'Mapa final'!$A$52),"")</f>
        <v/>
      </c>
      <c r="AE26" s="268"/>
      <c r="AF26" s="268" t="str">
        <f ca="1">IF(AND('Mapa final'!$H$58="Media",'Mapa final'!$L$58="Mayor"),CONCATENATE("R",'Mapa final'!$A$58),"")</f>
        <v/>
      </c>
      <c r="AG26" s="269"/>
      <c r="AH26" s="257" t="str">
        <f ca="1">IF(AND('Mapa final'!$H$46="Media",'Mapa final'!$L$46="Catastrófico"),CONCATENATE("R",'Mapa final'!$A$46),"")</f>
        <v/>
      </c>
      <c r="AI26" s="258"/>
      <c r="AJ26" s="258" t="str">
        <f ca="1">IF(AND('Mapa final'!$H$52="Media",'Mapa final'!$L$52="Catastrófico"),CONCATENATE("R",'Mapa final'!$A$52),"")</f>
        <v/>
      </c>
      <c r="AK26" s="258"/>
      <c r="AL26" s="258" t="str">
        <f ca="1">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 ca="1">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 ca="1">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 ca="1">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 ca="1">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 ca="1">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 ca="1">IF(AND('Mapa final'!$H$10="Baja",'Mapa final'!$L$10="Leve"),CONCATENATE("R",'Mapa final'!$A$10),"")</f>
        <v/>
      </c>
      <c r="K30" s="246"/>
      <c r="L30" s="246" t="str">
        <f ca="1">IF(AND('Mapa final'!$H$16="Baja",'Mapa final'!$L$16="Leve"),CONCATENATE("R",'Mapa final'!$A$16),"")</f>
        <v/>
      </c>
      <c r="M30" s="246"/>
      <c r="N30" s="246" t="str">
        <f ca="1">IF(AND('Mapa final'!$H$22="Baja",'Mapa final'!$L$22="Leve"),CONCATENATE("R",'Mapa final'!$A$22),"")</f>
        <v/>
      </c>
      <c r="O30" s="247"/>
      <c r="P30" s="255" t="str">
        <f ca="1">IF(AND('Mapa final'!$H$10="Baja",'Mapa final'!$L$10="Menor"),CONCATENATE("R",'Mapa final'!$A$10),"")</f>
        <v/>
      </c>
      <c r="Q30" s="255"/>
      <c r="R30" s="255" t="str">
        <f ca="1">IF(AND('Mapa final'!$H$16="Baja",'Mapa final'!$L$16="Menor"),CONCATENATE("R",'Mapa final'!$A$16),"")</f>
        <v/>
      </c>
      <c r="S30" s="255"/>
      <c r="T30" s="255" t="str">
        <f ca="1">IF(AND('Mapa final'!$H$22="Baja",'Mapa final'!$L$22="Menor"),CONCATENATE("R",'Mapa final'!$A$22),"")</f>
        <v/>
      </c>
      <c r="U30" s="256"/>
      <c r="V30" s="254" t="str">
        <f ca="1">IF(AND('Mapa final'!$H$10="Baja",'Mapa final'!$L$10="Moderado"),CONCATENATE("R",'Mapa final'!$A$10),"")</f>
        <v/>
      </c>
      <c r="W30" s="255"/>
      <c r="X30" s="255" t="str">
        <f ca="1">IF(AND('Mapa final'!$H$16="Baja",'Mapa final'!$L$16="Moderado"),CONCATENATE("R",'Mapa final'!$A$16),"")</f>
        <v/>
      </c>
      <c r="Y30" s="255"/>
      <c r="Z30" s="255" t="str">
        <f ca="1">IF(AND('Mapa final'!$H$22="Baja",'Mapa final'!$L$22="Moderado"),CONCATENATE("R",'Mapa final'!$A$22),"")</f>
        <v/>
      </c>
      <c r="AA30" s="256"/>
      <c r="AB30" s="273" t="str">
        <f ca="1">IF(AND('Mapa final'!$H$10="Baja",'Mapa final'!$L$10="Mayor"),CONCATENATE("R",'Mapa final'!$A$10),"")</f>
        <v/>
      </c>
      <c r="AC30" s="274"/>
      <c r="AD30" s="274" t="str">
        <f ca="1">IF(AND('Mapa final'!$H$16="Baja",'Mapa final'!$L$16="Mayor"),CONCATENATE("R",'Mapa final'!$A$16),"")</f>
        <v/>
      </c>
      <c r="AE30" s="274"/>
      <c r="AF30" s="274" t="str">
        <f ca="1">IF(AND('Mapa final'!$H$22="Baja",'Mapa final'!$L$22="Mayor"),CONCATENATE("R",'Mapa final'!$A$22),"")</f>
        <v/>
      </c>
      <c r="AG30" s="275"/>
      <c r="AH30" s="263" t="str">
        <f ca="1">IF(AND('Mapa final'!$H$10="Baja",'Mapa final'!$L$10="Catastrófico"),CONCATENATE("R",'Mapa final'!$A$10),"")</f>
        <v/>
      </c>
      <c r="AI30" s="264"/>
      <c r="AJ30" s="264" t="str">
        <f ca="1">IF(AND('Mapa final'!$H$16="Baja",'Mapa final'!$L$16="Catastrófico"),CONCATENATE("R",'Mapa final'!$A$16),"")</f>
        <v/>
      </c>
      <c r="AK30" s="264"/>
      <c r="AL30" s="264" t="str">
        <f ca="1">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 ca="1">IF(AND('Mapa final'!$H$28="Baja",'Mapa final'!$L$28="Leve"),CONCATENATE("R",'Mapa final'!$A$28),"")</f>
        <v/>
      </c>
      <c r="K32" s="240"/>
      <c r="L32" s="240" t="str">
        <f ca="1">IF(AND('Mapa final'!$H$34="Baja",'Mapa final'!$L$34="Leve"),CONCATENATE("R",'Mapa final'!$A$34),"")</f>
        <v/>
      </c>
      <c r="M32" s="240"/>
      <c r="N32" s="240" t="str">
        <f ca="1">IF(AND('Mapa final'!$H$40="Baja",'Mapa final'!$L$40="Leve"),CONCATENATE("R",'Mapa final'!$A$40),"")</f>
        <v/>
      </c>
      <c r="O32" s="241"/>
      <c r="P32" s="249" t="str">
        <f ca="1">IF(AND('Mapa final'!$H$28="Baja",'Mapa final'!$L$28="Menor"),CONCATENATE("R",'Mapa final'!$A$28),"")</f>
        <v/>
      </c>
      <c r="Q32" s="249"/>
      <c r="R32" s="249" t="str">
        <f ca="1">IF(AND('Mapa final'!$H$34="Baja",'Mapa final'!$L$34="Menor"),CONCATENATE("R",'Mapa final'!$A$34),"")</f>
        <v/>
      </c>
      <c r="S32" s="249"/>
      <c r="T32" s="249" t="str">
        <f ca="1">IF(AND('Mapa final'!$H$40="Baja",'Mapa final'!$L$40="Menor"),CONCATENATE("R",'Mapa final'!$A$40),"")</f>
        <v/>
      </c>
      <c r="U32" s="250"/>
      <c r="V32" s="248" t="str">
        <f ca="1">IF(AND('Mapa final'!$H$28="Baja",'Mapa final'!$L$28="Moderado"),CONCATENATE("R",'Mapa final'!$A$28),"")</f>
        <v/>
      </c>
      <c r="W32" s="249"/>
      <c r="X32" s="249" t="str">
        <f ca="1">IF(AND('Mapa final'!$H$34="Baja",'Mapa final'!$L$34="Moderado"),CONCATENATE("R",'Mapa final'!$A$34),"")</f>
        <v/>
      </c>
      <c r="Y32" s="249"/>
      <c r="Z32" s="249" t="str">
        <f ca="1">IF(AND('Mapa final'!$H$40="Baja",'Mapa final'!$L$40="Moderado"),CONCATENATE("R",'Mapa final'!$A$40),"")</f>
        <v/>
      </c>
      <c r="AA32" s="250"/>
      <c r="AB32" s="266" t="str">
        <f ca="1">IF(AND('Mapa final'!$H$28="Baja",'Mapa final'!$L$28="Mayor"),CONCATENATE("R",'Mapa final'!$A$28),"")</f>
        <v/>
      </c>
      <c r="AC32" s="267"/>
      <c r="AD32" s="268" t="str">
        <f ca="1">IF(AND('Mapa final'!$H$34="Baja",'Mapa final'!$L$34="Mayor"),CONCATENATE("R",'Mapa final'!$A$34),"")</f>
        <v/>
      </c>
      <c r="AE32" s="268"/>
      <c r="AF32" s="268" t="str">
        <f ca="1">IF(AND('Mapa final'!$H$40="Baja",'Mapa final'!$L$40="Mayor"),CONCATENATE("R",'Mapa final'!$A$40),"")</f>
        <v/>
      </c>
      <c r="AG32" s="269"/>
      <c r="AH32" s="257" t="str">
        <f ca="1">IF(AND('Mapa final'!$H$28="Baja",'Mapa final'!$L$28="Catastrófico"),CONCATENATE("R",'Mapa final'!$A$28),"")</f>
        <v/>
      </c>
      <c r="AI32" s="258"/>
      <c r="AJ32" s="258" t="str">
        <f ca="1">IF(AND('Mapa final'!$H$34="Baja",'Mapa final'!$L$34="Catastrófico"),CONCATENATE("R",'Mapa final'!$A$34),"")</f>
        <v/>
      </c>
      <c r="AK32" s="258"/>
      <c r="AL32" s="258" t="str">
        <f ca="1">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 ca="1">IF(AND('Mapa final'!$H$46="Baja",'Mapa final'!$L$46="Leve"),CONCATENATE("R",'Mapa final'!$A$46),"")</f>
        <v/>
      </c>
      <c r="K34" s="240"/>
      <c r="L34" s="240" t="str">
        <f ca="1">IF(AND('Mapa final'!$H$52="Baja",'Mapa final'!$L$52="Leve"),CONCATENATE("R",'Mapa final'!$A$52),"")</f>
        <v/>
      </c>
      <c r="M34" s="240"/>
      <c r="N34" s="240" t="str">
        <f ca="1">IF(AND('Mapa final'!$H$58="Baja",'Mapa final'!$L$58="Leve"),CONCATENATE("R",'Mapa final'!$A$58),"")</f>
        <v/>
      </c>
      <c r="O34" s="241"/>
      <c r="P34" s="249" t="str">
        <f ca="1">IF(AND('Mapa final'!$H$46="Baja",'Mapa final'!$L$46="Menor"),CONCATENATE("R",'Mapa final'!$A$46),"")</f>
        <v/>
      </c>
      <c r="Q34" s="249"/>
      <c r="R34" s="249" t="str">
        <f ca="1">IF(AND('Mapa final'!$H$52="Baja",'Mapa final'!$L$52="Menor"),CONCATENATE("R",'Mapa final'!$A$52),"")</f>
        <v/>
      </c>
      <c r="S34" s="249"/>
      <c r="T34" s="249" t="str">
        <f ca="1">IF(AND('Mapa final'!$H$58="Baja",'Mapa final'!$L$58="Menor"),CONCATENATE("R",'Mapa final'!$A$58),"")</f>
        <v/>
      </c>
      <c r="U34" s="250"/>
      <c r="V34" s="248" t="str">
        <f ca="1">IF(AND('Mapa final'!$H$46="Baja",'Mapa final'!$L$46="Moderado"),CONCATENATE("R",'Mapa final'!$A$46),"")</f>
        <v/>
      </c>
      <c r="W34" s="249"/>
      <c r="X34" s="249" t="str">
        <f ca="1">IF(AND('Mapa final'!$H$52="Baja",'Mapa final'!$L$52="Moderado"),CONCATENATE("R",'Mapa final'!$A$52),"")</f>
        <v/>
      </c>
      <c r="Y34" s="249"/>
      <c r="Z34" s="249" t="str">
        <f ca="1">IF(AND('Mapa final'!$H$58="Baja",'Mapa final'!$L$58="Moderado"),CONCATENATE("R",'Mapa final'!$A$58),"")</f>
        <v/>
      </c>
      <c r="AA34" s="250"/>
      <c r="AB34" s="266" t="str">
        <f ca="1">IF(AND('Mapa final'!$H$46="Baja",'Mapa final'!$L$46="Mayor"),CONCATENATE("R",'Mapa final'!$A$46),"")</f>
        <v/>
      </c>
      <c r="AC34" s="267"/>
      <c r="AD34" s="268" t="str">
        <f ca="1">IF(AND('Mapa final'!$H$52="Baja",'Mapa final'!$L$52="Mayor"),CONCATENATE("R",'Mapa final'!$A$52),"")</f>
        <v/>
      </c>
      <c r="AE34" s="268"/>
      <c r="AF34" s="268" t="str">
        <f ca="1">IF(AND('Mapa final'!$H$58="Baja",'Mapa final'!$L$58="Mayor"),CONCATENATE("R",'Mapa final'!$A$58),"")</f>
        <v/>
      </c>
      <c r="AG34" s="269"/>
      <c r="AH34" s="257" t="str">
        <f ca="1">IF(AND('Mapa final'!$H$46="Baja",'Mapa final'!$L$46="Catastrófico"),CONCATENATE("R",'Mapa final'!$A$46),"")</f>
        <v/>
      </c>
      <c r="AI34" s="258"/>
      <c r="AJ34" s="258" t="str">
        <f ca="1">IF(AND('Mapa final'!$H$52="Baja",'Mapa final'!$L$52="Catastrófico"),CONCATENATE("R",'Mapa final'!$A$52),"")</f>
        <v/>
      </c>
      <c r="AK34" s="258"/>
      <c r="AL34" s="258" t="str">
        <f ca="1">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 ca="1">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 ca="1">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 ca="1">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 ca="1">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 ca="1">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 ca="1">IF(AND('Mapa final'!$H$10="Muy Baja",'Mapa final'!$L$10="Leve"),CONCATENATE("R",'Mapa final'!$A$10),"")</f>
        <v/>
      </c>
      <c r="K38" s="246"/>
      <c r="L38" s="246" t="str">
        <f ca="1">IF(AND('Mapa final'!$H$16="Muy Baja",'Mapa final'!$L$16="Leve"),CONCATENATE("R",'Mapa final'!$A$16),"")</f>
        <v/>
      </c>
      <c r="M38" s="246"/>
      <c r="N38" s="246" t="str">
        <f ca="1">IF(AND('Mapa final'!$H$22="Muy Baja",'Mapa final'!$L$22="Leve"),CONCATENATE("R",'Mapa final'!$A$22),"")</f>
        <v/>
      </c>
      <c r="O38" s="247"/>
      <c r="P38" s="245" t="str">
        <f ca="1">IF(AND('Mapa final'!$H$10="Muy Baja",'Mapa final'!$L$10="Menor"),CONCATENATE("R",'Mapa final'!$A$10),"")</f>
        <v/>
      </c>
      <c r="Q38" s="246"/>
      <c r="R38" s="246" t="str">
        <f ca="1">IF(AND('Mapa final'!$H$16="Muy Baja",'Mapa final'!$L$16="Menor"),CONCATENATE("R",'Mapa final'!$A$16),"")</f>
        <v/>
      </c>
      <c r="S38" s="246"/>
      <c r="T38" s="246" t="str">
        <f ca="1">IF(AND('Mapa final'!$H$22="Muy Baja",'Mapa final'!$L$22="Menor"),CONCATENATE("R",'Mapa final'!$A$22),"")</f>
        <v/>
      </c>
      <c r="U38" s="247"/>
      <c r="V38" s="254" t="str">
        <f ca="1">IF(AND('Mapa final'!$H$10="Muy Baja",'Mapa final'!$L$10="Moderado"),CONCATENATE("R",'Mapa final'!$A$10),"")</f>
        <v>R1</v>
      </c>
      <c r="W38" s="255"/>
      <c r="X38" s="255" t="str">
        <f ca="1">IF(AND('Mapa final'!$H$16="Muy Baja",'Mapa final'!$L$16="Moderado"),CONCATENATE("R",'Mapa final'!$A$16),"")</f>
        <v/>
      </c>
      <c r="Y38" s="255"/>
      <c r="Z38" s="255" t="str">
        <f ca="1">IF(AND('Mapa final'!$H$22="Muy Baja",'Mapa final'!$L$22="Moderado"),CONCATENATE("R",'Mapa final'!$A$22),"")</f>
        <v/>
      </c>
      <c r="AA38" s="256"/>
      <c r="AB38" s="273" t="str">
        <f ca="1">IF(AND('Mapa final'!$H$10="Muy Baja",'Mapa final'!$L$10="Mayor"),CONCATENATE("R",'Mapa final'!$A$10),"")</f>
        <v/>
      </c>
      <c r="AC38" s="274"/>
      <c r="AD38" s="274" t="str">
        <f ca="1">IF(AND('Mapa final'!$H$16="Muy Baja",'Mapa final'!$L$16="Mayor"),CONCATENATE("R",'Mapa final'!$A$16),"")</f>
        <v/>
      </c>
      <c r="AE38" s="274"/>
      <c r="AF38" s="274" t="str">
        <f ca="1">IF(AND('Mapa final'!$H$22="Muy Baja",'Mapa final'!$L$22="Mayor"),CONCATENATE("R",'Mapa final'!$A$22),"")</f>
        <v/>
      </c>
      <c r="AG38" s="275"/>
      <c r="AH38" s="263" t="str">
        <f ca="1">IF(AND('Mapa final'!$H$10="Muy Baja",'Mapa final'!$L$10="Catastrófico"),CONCATENATE("R",'Mapa final'!$A$10),"")</f>
        <v/>
      </c>
      <c r="AI38" s="264"/>
      <c r="AJ38" s="264" t="str">
        <f ca="1">IF(AND('Mapa final'!$H$16="Muy Baja",'Mapa final'!$L$16="Catastrófico"),CONCATENATE("R",'Mapa final'!$A$16),"")</f>
        <v/>
      </c>
      <c r="AK38" s="264"/>
      <c r="AL38" s="264" t="str">
        <f ca="1">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 ca="1">IF(AND('Mapa final'!$H$28="Muy Baja",'Mapa final'!$L$28="Leve"),CONCATENATE("R",'Mapa final'!$A$28),"")</f>
        <v/>
      </c>
      <c r="K40" s="240"/>
      <c r="L40" s="240" t="str">
        <f ca="1">IF(AND('Mapa final'!$H$34="Muy Baja",'Mapa final'!$L$34="Leve"),CONCATENATE("R",'Mapa final'!$A$34),"")</f>
        <v/>
      </c>
      <c r="M40" s="240"/>
      <c r="N40" s="240" t="str">
        <f ca="1">IF(AND('Mapa final'!$H$40="Muy Baja",'Mapa final'!$L$40="Leve"),CONCATENATE("R",'Mapa final'!$A$40),"")</f>
        <v/>
      </c>
      <c r="O40" s="241"/>
      <c r="P40" s="239" t="str">
        <f ca="1">IF(AND('Mapa final'!$H$28="Muy Baja",'Mapa final'!$L$28="Menor"),CONCATENATE("R",'Mapa final'!$A$28),"")</f>
        <v/>
      </c>
      <c r="Q40" s="240"/>
      <c r="R40" s="240" t="str">
        <f ca="1">IF(AND('Mapa final'!$H$34="Muy Baja",'Mapa final'!$L$34="Menor"),CONCATENATE("R",'Mapa final'!$A$34),"")</f>
        <v/>
      </c>
      <c r="S40" s="240"/>
      <c r="T40" s="240" t="str">
        <f ca="1">IF(AND('Mapa final'!$H$40="Muy Baja",'Mapa final'!$L$40="Menor"),CONCATENATE("R",'Mapa final'!$A$40),"")</f>
        <v/>
      </c>
      <c r="U40" s="241"/>
      <c r="V40" s="248" t="str">
        <f ca="1">IF(AND('Mapa final'!$H$28="Muy Baja",'Mapa final'!$L$28="Moderado"),CONCATENATE("R",'Mapa final'!$A$28),"")</f>
        <v/>
      </c>
      <c r="W40" s="249"/>
      <c r="X40" s="249" t="str">
        <f ca="1">IF(AND('Mapa final'!$H$34="Muy Baja",'Mapa final'!$L$34="Moderado"),CONCATENATE("R",'Mapa final'!$A$34),"")</f>
        <v/>
      </c>
      <c r="Y40" s="249"/>
      <c r="Z40" s="249" t="str">
        <f ca="1">IF(AND('Mapa final'!$H$40="Muy Baja",'Mapa final'!$L$40="Moderado"),CONCATENATE("R",'Mapa final'!$A$40),"")</f>
        <v/>
      </c>
      <c r="AA40" s="250"/>
      <c r="AB40" s="266" t="str">
        <f ca="1">IF(AND('Mapa final'!$H$28="Muy Baja",'Mapa final'!$L$28="Mayor"),CONCATENATE("R",'Mapa final'!$A$28),"")</f>
        <v/>
      </c>
      <c r="AC40" s="267"/>
      <c r="AD40" s="268" t="str">
        <f ca="1">IF(AND('Mapa final'!$H$34="Muy Baja",'Mapa final'!$L$34="Mayor"),CONCATENATE("R",'Mapa final'!$A$34),"")</f>
        <v/>
      </c>
      <c r="AE40" s="268"/>
      <c r="AF40" s="268" t="str">
        <f ca="1">IF(AND('Mapa final'!$H$40="Muy Baja",'Mapa final'!$L$40="Mayor"),CONCATENATE("R",'Mapa final'!$A$40),"")</f>
        <v/>
      </c>
      <c r="AG40" s="269"/>
      <c r="AH40" s="257" t="str">
        <f ca="1">IF(AND('Mapa final'!$H$28="Muy Baja",'Mapa final'!$L$28="Catastrófico"),CONCATENATE("R",'Mapa final'!$A$28),"")</f>
        <v/>
      </c>
      <c r="AI40" s="258"/>
      <c r="AJ40" s="258" t="str">
        <f ca="1">IF(AND('Mapa final'!$H$34="Muy Baja",'Mapa final'!$L$34="Catastrófico"),CONCATENATE("R",'Mapa final'!$A$34),"")</f>
        <v/>
      </c>
      <c r="AK40" s="258"/>
      <c r="AL40" s="258" t="str">
        <f ca="1">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 ca="1">IF(AND('Mapa final'!$H$46="Muy Baja",'Mapa final'!$L$46="Leve"),CONCATENATE("R",'Mapa final'!$A$46),"")</f>
        <v/>
      </c>
      <c r="K42" s="240"/>
      <c r="L42" s="240" t="str">
        <f ca="1">IF(AND('Mapa final'!$H$52="Muy Baja",'Mapa final'!$L$52="Leve"),CONCATENATE("R",'Mapa final'!$A$52),"")</f>
        <v/>
      </c>
      <c r="M42" s="240"/>
      <c r="N42" s="240" t="str">
        <f ca="1">IF(AND('Mapa final'!$H$58="Muy Baja",'Mapa final'!$L$58="Leve"),CONCATENATE("R",'Mapa final'!$A$58),"")</f>
        <v/>
      </c>
      <c r="O42" s="241"/>
      <c r="P42" s="239" t="str">
        <f ca="1">IF(AND('Mapa final'!$H$46="Muy Baja",'Mapa final'!$L$46="Menor"),CONCATENATE("R",'Mapa final'!$A$46),"")</f>
        <v/>
      </c>
      <c r="Q42" s="240"/>
      <c r="R42" s="240" t="str">
        <f ca="1">IF(AND('Mapa final'!$H$52="Muy Baja",'Mapa final'!$L$52="Menor"),CONCATENATE("R",'Mapa final'!$A$52),"")</f>
        <v/>
      </c>
      <c r="S42" s="240"/>
      <c r="T42" s="240" t="str">
        <f ca="1">IF(AND('Mapa final'!$H$58="Muy Baja",'Mapa final'!$L$58="Menor"),CONCATENATE("R",'Mapa final'!$A$58),"")</f>
        <v/>
      </c>
      <c r="U42" s="241"/>
      <c r="V42" s="248" t="str">
        <f ca="1">IF(AND('Mapa final'!$H$46="Muy Baja",'Mapa final'!$L$46="Moderado"),CONCATENATE("R",'Mapa final'!$A$46),"")</f>
        <v/>
      </c>
      <c r="W42" s="249"/>
      <c r="X42" s="249" t="str">
        <f ca="1">IF(AND('Mapa final'!$H$52="Muy Baja",'Mapa final'!$L$52="Moderado"),CONCATENATE("R",'Mapa final'!$A$52),"")</f>
        <v/>
      </c>
      <c r="Y42" s="249"/>
      <c r="Z42" s="249" t="str">
        <f ca="1">IF(AND('Mapa final'!$H$58="Muy Baja",'Mapa final'!$L$58="Moderado"),CONCATENATE("R",'Mapa final'!$A$58),"")</f>
        <v/>
      </c>
      <c r="AA42" s="250"/>
      <c r="AB42" s="266" t="str">
        <f ca="1">IF(AND('Mapa final'!$H$46="Muy Baja",'Mapa final'!$L$46="Mayor"),CONCATENATE("R",'Mapa final'!$A$46),"")</f>
        <v/>
      </c>
      <c r="AC42" s="267"/>
      <c r="AD42" s="268" t="str">
        <f ca="1">IF(AND('Mapa final'!$H$52="Muy Baja",'Mapa final'!$L$52="Mayor"),CONCATENATE("R",'Mapa final'!$A$52),"")</f>
        <v/>
      </c>
      <c r="AE42" s="268"/>
      <c r="AF42" s="268" t="str">
        <f ca="1">IF(AND('Mapa final'!$H$58="Muy Baja",'Mapa final'!$L$58="Mayor"),CONCATENATE("R",'Mapa final'!$A$58),"")</f>
        <v/>
      </c>
      <c r="AG42" s="269"/>
      <c r="AH42" s="257" t="str">
        <f ca="1">IF(AND('Mapa final'!$H$46="Muy Baja",'Mapa final'!$L$46="Catastrófico"),CONCATENATE("R",'Mapa final'!$A$46),"")</f>
        <v/>
      </c>
      <c r="AI42" s="258"/>
      <c r="AJ42" s="258" t="str">
        <f ca="1">IF(AND('Mapa final'!$H$52="Muy Baja",'Mapa final'!$L$52="Catastrófico"),CONCATENATE("R",'Mapa final'!$A$52),"")</f>
        <v/>
      </c>
      <c r="AK42" s="258"/>
      <c r="AL42" s="258" t="str">
        <f ca="1">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 ca="1">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 ca="1">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 ca="1">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 ca="1">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 ca="1">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R1C1</v>
      </c>
      <c r="W46" s="83" t="str">
        <f ca="1">IF(AND('Mapa final'!$Y$11="Muy Baja",'Mapa final'!$AA$11="Moderado"),CONCATENATE("R1C",'Mapa final'!$O$11),"")</f>
        <v>R1C2</v>
      </c>
      <c r="X46" s="66" t="str">
        <f ca="1">IF(AND('Mapa final'!$Y$12="Muy Baja",'Mapa final'!$AA$12="Moderado"),CONCATENATE("R1C",'Mapa final'!$O$12),"")</f>
        <v>R1C3</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2023-10-26T23:53:33Z</cp:lastPrinted>
  <dcterms:created xsi:type="dcterms:W3CDTF">2020-03-24T23:12:47Z</dcterms:created>
  <dcterms:modified xsi:type="dcterms:W3CDTF">2023-10-26T23:53:54Z</dcterms:modified>
</cp:coreProperties>
</file>